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120" documentId="8_{E8346B1F-E607-47C2-B6B4-94B25FBADFEA}" xr6:coauthVersionLast="47" xr6:coauthVersionMax="47" xr10:uidLastSave="{B91F5127-591E-4317-94A2-7D351AE32240}"/>
  <bookViews>
    <workbookView xWindow="20370" yWindow="-120" windowWidth="29040" windowHeight="15720" tabRatio="734" activeTab="1" xr2:uid="{999650B2-D879-4600-8074-8BBEC06EDFB8}"/>
  </bookViews>
  <sheets>
    <sheet name="Raw" sheetId="1" r:id="rId1"/>
    <sheet name="Data issues" sheetId="2" r:id="rId2"/>
    <sheet name="Inputs" sheetId="3" r:id="rId3"/>
    <sheet name="Analysis" sheetId="4" r:id="rId4"/>
    <sheet name="Savings summary" sheetId="5" r:id="rId5"/>
    <sheet name="Renewal calendar" sheetId="6" r:id="rId6"/>
    <sheet name="Memo to Marcus" sheetId="7" r:id="rId7"/>
    <sheet name="Dispute drafts" sheetId="8" r:id="rId8"/>
    <sheet name="Log &amp; QA" sheetId="9" r:id="rId9"/>
  </sheets>
  <definedNames>
    <definedName name="_xlnm.Print_Area" localSheetId="6">'Memo to Marcus'!$A$3:$F$28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G6" i="9" l="1"/>
  <c r="D6" i="9"/>
  <c r="A5" i="7"/>
  <c r="A4" i="2"/>
  <c r="C19" i="9"/>
  <c r="C18" i="9"/>
  <c r="C17" i="9"/>
  <c r="C16" i="9"/>
  <c r="C13" i="9"/>
  <c r="C10" i="9"/>
  <c r="C9" i="9"/>
  <c r="A20" i="7"/>
  <c r="A15" i="7"/>
  <c r="B9" i="7"/>
  <c r="C31" i="5"/>
  <c r="C25" i="5"/>
  <c r="F19" i="5"/>
  <c r="C21" i="5"/>
  <c r="C22" i="5"/>
  <c r="C23" i="5"/>
  <c r="C32" i="5" s="1"/>
  <c r="C24" i="5"/>
  <c r="C26" i="5"/>
  <c r="C30" i="5"/>
  <c r="C33" i="5"/>
  <c r="H7" i="6"/>
  <c r="H8" i="6"/>
  <c r="H9" i="6"/>
  <c r="H10" i="6"/>
  <c r="H11" i="6"/>
  <c r="H12" i="6"/>
  <c r="C38" i="5"/>
  <c r="D38" i="5"/>
  <c r="C39" i="5"/>
  <c r="D39" i="5"/>
  <c r="C40" i="5"/>
  <c r="D40" i="5"/>
  <c r="C6" i="5"/>
  <c r="D6" i="5"/>
  <c r="H6" i="5"/>
  <c r="C7" i="5"/>
  <c r="D7" i="5"/>
  <c r="H7" i="5"/>
  <c r="C8" i="5"/>
  <c r="D8" i="5"/>
  <c r="H8" i="5"/>
  <c r="C9" i="5"/>
  <c r="D9" i="5"/>
  <c r="H9" i="5"/>
  <c r="C10" i="5"/>
  <c r="D10" i="5"/>
  <c r="H10" i="5"/>
  <c r="C11" i="5"/>
  <c r="D11" i="5"/>
  <c r="H11" i="5"/>
  <c r="C12" i="5"/>
  <c r="D12" i="5"/>
  <c r="H12" i="5"/>
  <c r="C13" i="5"/>
  <c r="D13" i="5"/>
  <c r="H13" i="5"/>
  <c r="C14" i="5"/>
  <c r="D14" i="5"/>
  <c r="H14" i="5"/>
  <c r="C15" i="5"/>
  <c r="D15" i="5"/>
  <c r="H15" i="5"/>
  <c r="C16" i="5"/>
  <c r="D16" i="5"/>
  <c r="H16" i="5"/>
  <c r="C17" i="5"/>
  <c r="D17" i="5"/>
  <c r="H17" i="5"/>
  <c r="Y6" i="4"/>
  <c r="Z6" i="4" s="1"/>
  <c r="I11" i="6" s="1"/>
  <c r="AA6" i="4"/>
  <c r="V7" i="4"/>
  <c r="V9" i="4"/>
  <c r="V10" i="4"/>
  <c r="Y12" i="4"/>
  <c r="Z12" i="4" s="1"/>
  <c r="AA12" i="4"/>
  <c r="Y13" i="4"/>
  <c r="Z13" i="4" s="1"/>
  <c r="AA13" i="4"/>
  <c r="V14" i="4"/>
  <c r="Y14" i="4"/>
  <c r="Z14" i="4" s="1"/>
  <c r="AA14" i="4"/>
  <c r="V15" i="4"/>
  <c r="Y17" i="4"/>
  <c r="Z17" i="4"/>
  <c r="AA17" i="4"/>
  <c r="Y18" i="4"/>
  <c r="Z18" i="4" s="1"/>
  <c r="AA18" i="4"/>
  <c r="V19" i="4"/>
  <c r="Y19" i="4"/>
  <c r="Z19" i="4" s="1"/>
  <c r="AA19" i="4"/>
  <c r="Y20" i="4"/>
  <c r="Z20" i="4"/>
  <c r="AA20" i="4"/>
  <c r="V21" i="4"/>
  <c r="Y23" i="4"/>
  <c r="Z23" i="4" s="1"/>
  <c r="AA23" i="4"/>
  <c r="Y24" i="4"/>
  <c r="Z24" i="4" s="1"/>
  <c r="AA24" i="4"/>
  <c r="V25" i="4"/>
  <c r="Y26" i="4"/>
  <c r="Z26" i="4" s="1"/>
  <c r="AA26" i="4"/>
  <c r="V27" i="4"/>
  <c r="F6" i="8" s="1"/>
  <c r="V28" i="4"/>
  <c r="G39" i="5" s="1"/>
  <c r="Y28" i="4"/>
  <c r="Z28" i="4" s="1"/>
  <c r="AA28" i="4"/>
  <c r="V29" i="4"/>
  <c r="F8" i="8" s="1"/>
  <c r="Y30" i="4"/>
  <c r="Z30" i="4"/>
  <c r="AA30" i="4"/>
  <c r="A6" i="4"/>
  <c r="P6" i="4" s="1"/>
  <c r="B6" i="4"/>
  <c r="C6" i="4"/>
  <c r="D6" i="4"/>
  <c r="C11" i="6" s="1"/>
  <c r="E6" i="4"/>
  <c r="H6" i="4" s="1"/>
  <c r="I6" i="4" s="1"/>
  <c r="F6" i="4"/>
  <c r="G6" i="4"/>
  <c r="J6" i="4"/>
  <c r="K6" i="4"/>
  <c r="O6" i="4"/>
  <c r="V6" i="4" s="1"/>
  <c r="A7" i="4"/>
  <c r="B6" i="5" s="1"/>
  <c r="B7" i="4"/>
  <c r="C7" i="4"/>
  <c r="D7" i="4"/>
  <c r="E7" i="4"/>
  <c r="F7" i="4"/>
  <c r="G7" i="4"/>
  <c r="J7" i="4"/>
  <c r="K7" i="4"/>
  <c r="O7" i="4"/>
  <c r="P7" i="4"/>
  <c r="A8" i="4"/>
  <c r="B7" i="5" s="1"/>
  <c r="B8" i="4"/>
  <c r="C8" i="4"/>
  <c r="D8" i="4"/>
  <c r="C7" i="6" s="1"/>
  <c r="E8" i="4"/>
  <c r="F8" i="4"/>
  <c r="G8" i="4"/>
  <c r="Y8" i="4" s="1"/>
  <c r="Z8" i="4" s="1"/>
  <c r="J8" i="4"/>
  <c r="K8" i="4"/>
  <c r="O8" i="4"/>
  <c r="V8" i="4" s="1"/>
  <c r="A9" i="4"/>
  <c r="B8" i="5" s="1"/>
  <c r="B9" i="4"/>
  <c r="C9" i="4"/>
  <c r="D9" i="4"/>
  <c r="E9" i="4"/>
  <c r="F9" i="4"/>
  <c r="G9" i="4"/>
  <c r="J9" i="4"/>
  <c r="K9" i="4"/>
  <c r="O9" i="4"/>
  <c r="A10" i="4"/>
  <c r="P10" i="4" s="1"/>
  <c r="B10" i="4"/>
  <c r="C10" i="4"/>
  <c r="D10" i="4"/>
  <c r="E10" i="4"/>
  <c r="F10" i="4"/>
  <c r="H10" i="4" s="1"/>
  <c r="I10" i="4" s="1"/>
  <c r="G10" i="4"/>
  <c r="J10" i="4"/>
  <c r="K10" i="4"/>
  <c r="O10" i="4"/>
  <c r="A11" i="4"/>
  <c r="B8" i="6" s="1"/>
  <c r="B11" i="4"/>
  <c r="C11" i="4"/>
  <c r="D11" i="4"/>
  <c r="C8" i="6" s="1"/>
  <c r="E11" i="4"/>
  <c r="F11" i="4"/>
  <c r="G11" i="4"/>
  <c r="J11" i="4"/>
  <c r="K11" i="4"/>
  <c r="O11" i="4"/>
  <c r="V11" i="4" s="1"/>
  <c r="A12" i="4"/>
  <c r="P12" i="4" s="1"/>
  <c r="B12" i="4"/>
  <c r="C12" i="4"/>
  <c r="D12" i="4"/>
  <c r="E12" i="4"/>
  <c r="F12" i="4"/>
  <c r="G12" i="4"/>
  <c r="L12" i="4" s="1"/>
  <c r="J12" i="4"/>
  <c r="K12" i="4"/>
  <c r="O12" i="4"/>
  <c r="A13" i="4"/>
  <c r="P13" i="4" s="1"/>
  <c r="B13" i="4"/>
  <c r="C13" i="4"/>
  <c r="D13" i="4"/>
  <c r="E13" i="4"/>
  <c r="F13" i="4"/>
  <c r="G13" i="4"/>
  <c r="J13" i="4"/>
  <c r="N13" i="4" s="1"/>
  <c r="K13" i="4"/>
  <c r="M13" i="4" s="1"/>
  <c r="L13" i="4"/>
  <c r="O13" i="4"/>
  <c r="A14" i="4"/>
  <c r="P14" i="4" s="1"/>
  <c r="B14" i="4"/>
  <c r="C14" i="4"/>
  <c r="D14" i="4"/>
  <c r="E14" i="4"/>
  <c r="F14" i="4"/>
  <c r="G14" i="4"/>
  <c r="J14" i="4"/>
  <c r="N14" i="4" s="1"/>
  <c r="K14" i="4"/>
  <c r="M14" i="4" s="1"/>
  <c r="L14" i="4"/>
  <c r="O14" i="4"/>
  <c r="A15" i="4"/>
  <c r="P15" i="4" s="1"/>
  <c r="B15" i="4"/>
  <c r="C15" i="4"/>
  <c r="D15" i="4"/>
  <c r="E15" i="4"/>
  <c r="F15" i="4"/>
  <c r="G15" i="4"/>
  <c r="J15" i="4"/>
  <c r="K15" i="4"/>
  <c r="O15" i="4"/>
  <c r="A16" i="4"/>
  <c r="B12" i="5" s="1"/>
  <c r="B16" i="4"/>
  <c r="C16" i="4"/>
  <c r="D16" i="4"/>
  <c r="C10" i="6" s="1"/>
  <c r="E16" i="4"/>
  <c r="F16" i="4"/>
  <c r="G16" i="4"/>
  <c r="J16" i="4"/>
  <c r="K16" i="4"/>
  <c r="O16" i="4"/>
  <c r="A10" i="6" s="1"/>
  <c r="P16" i="4"/>
  <c r="A17" i="4"/>
  <c r="P17" i="4" s="1"/>
  <c r="B17" i="4"/>
  <c r="C17" i="4"/>
  <c r="D17" i="4"/>
  <c r="E17" i="4"/>
  <c r="F17" i="4"/>
  <c r="G17" i="4"/>
  <c r="J17" i="4"/>
  <c r="K17" i="4"/>
  <c r="O17" i="4"/>
  <c r="A18" i="4"/>
  <c r="P18" i="4" s="1"/>
  <c r="B18" i="4"/>
  <c r="C18" i="4"/>
  <c r="D18" i="4"/>
  <c r="E18" i="4"/>
  <c r="F18" i="4"/>
  <c r="G18" i="4"/>
  <c r="J18" i="4"/>
  <c r="N18" i="4" s="1"/>
  <c r="K18" i="4"/>
  <c r="M18" i="4" s="1"/>
  <c r="O18" i="4"/>
  <c r="A19" i="4"/>
  <c r="P19" i="4" s="1"/>
  <c r="B19" i="4"/>
  <c r="C19" i="4"/>
  <c r="D19" i="4"/>
  <c r="E19" i="4"/>
  <c r="F19" i="4"/>
  <c r="G19" i="4"/>
  <c r="J19" i="4"/>
  <c r="N19" i="4" s="1"/>
  <c r="K19" i="4"/>
  <c r="M19" i="4" s="1"/>
  <c r="O19" i="4"/>
  <c r="A20" i="4"/>
  <c r="P20" i="4" s="1"/>
  <c r="B20" i="4"/>
  <c r="C20" i="4"/>
  <c r="D20" i="4"/>
  <c r="E20" i="4"/>
  <c r="F20" i="4"/>
  <c r="G20" i="4"/>
  <c r="J20" i="4"/>
  <c r="K20" i="4"/>
  <c r="O20" i="4"/>
  <c r="A21" i="4"/>
  <c r="P21" i="4" s="1"/>
  <c r="B21" i="4"/>
  <c r="C21" i="4"/>
  <c r="D21" i="4"/>
  <c r="E21" i="4"/>
  <c r="F21" i="4"/>
  <c r="G21" i="4"/>
  <c r="J21" i="4"/>
  <c r="K21" i="4"/>
  <c r="O21" i="4"/>
  <c r="A22" i="4"/>
  <c r="P22" i="4" s="1"/>
  <c r="B22" i="4"/>
  <c r="C22" i="4"/>
  <c r="D22" i="4"/>
  <c r="C9" i="6" s="1"/>
  <c r="E22" i="4"/>
  <c r="F22" i="4"/>
  <c r="G22" i="4"/>
  <c r="J22" i="4"/>
  <c r="K22" i="4"/>
  <c r="O22" i="4"/>
  <c r="V22" i="4" s="1"/>
  <c r="A23" i="4"/>
  <c r="P23" i="4" s="1"/>
  <c r="B23" i="4"/>
  <c r="C23" i="4"/>
  <c r="D23" i="4"/>
  <c r="E23" i="4"/>
  <c r="F23" i="4"/>
  <c r="G23" i="4"/>
  <c r="J23" i="4"/>
  <c r="K23" i="4"/>
  <c r="O23" i="4"/>
  <c r="A24" i="4"/>
  <c r="P24" i="4" s="1"/>
  <c r="B24" i="4"/>
  <c r="C24" i="4"/>
  <c r="D24" i="4"/>
  <c r="E24" i="4"/>
  <c r="F24" i="4"/>
  <c r="G24" i="4"/>
  <c r="J24" i="4"/>
  <c r="K24" i="4"/>
  <c r="O24" i="4"/>
  <c r="A25" i="4"/>
  <c r="B15" i="5" s="1"/>
  <c r="B25" i="4"/>
  <c r="C25" i="4"/>
  <c r="D25" i="4"/>
  <c r="E25" i="4"/>
  <c r="F25" i="4"/>
  <c r="G25" i="4"/>
  <c r="J25" i="4"/>
  <c r="K25" i="4"/>
  <c r="O25" i="4"/>
  <c r="A26" i="4"/>
  <c r="P26" i="4" s="1"/>
  <c r="B26" i="4"/>
  <c r="C26" i="4"/>
  <c r="D26" i="4"/>
  <c r="E26" i="4"/>
  <c r="F26" i="4"/>
  <c r="G26" i="4"/>
  <c r="J26" i="4"/>
  <c r="N26" i="4" s="1"/>
  <c r="K26" i="4"/>
  <c r="M26" i="4" s="1"/>
  <c r="O26" i="4"/>
  <c r="A27" i="4"/>
  <c r="B16" i="5" s="1"/>
  <c r="B27" i="4"/>
  <c r="C27" i="4"/>
  <c r="D27" i="4"/>
  <c r="E27" i="4"/>
  <c r="F27" i="4"/>
  <c r="G27" i="4"/>
  <c r="Y27" i="4" s="1"/>
  <c r="Z27" i="4" s="1"/>
  <c r="J27" i="4"/>
  <c r="K27" i="4"/>
  <c r="M27" i="4" s="1"/>
  <c r="O27" i="4"/>
  <c r="P27" i="4"/>
  <c r="A28" i="4"/>
  <c r="P28" i="4" s="1"/>
  <c r="B28" i="4"/>
  <c r="C28" i="4"/>
  <c r="D28" i="4"/>
  <c r="E28" i="4"/>
  <c r="F28" i="4"/>
  <c r="AB28" i="4" s="1"/>
  <c r="G28" i="4"/>
  <c r="J28" i="4"/>
  <c r="L28" i="4" s="1"/>
  <c r="K28" i="4"/>
  <c r="M28" i="4" s="1"/>
  <c r="O28" i="4"/>
  <c r="A29" i="4"/>
  <c r="B12" i="6" s="1"/>
  <c r="B29" i="4"/>
  <c r="C29" i="4"/>
  <c r="D29" i="4"/>
  <c r="C12" i="6" s="1"/>
  <c r="E29" i="4"/>
  <c r="F29" i="4"/>
  <c r="G29" i="4"/>
  <c r="Y29" i="4" s="1"/>
  <c r="Z29" i="4" s="1"/>
  <c r="J29" i="4"/>
  <c r="N29" i="4" s="1"/>
  <c r="K29" i="4"/>
  <c r="M29" i="4" s="1"/>
  <c r="O29" i="4"/>
  <c r="A12" i="6" s="1"/>
  <c r="A30" i="4"/>
  <c r="P30" i="4" s="1"/>
  <c r="B30" i="4"/>
  <c r="C30" i="4"/>
  <c r="D30" i="4"/>
  <c r="E30" i="4"/>
  <c r="F30" i="4"/>
  <c r="G30" i="4"/>
  <c r="J30" i="4"/>
  <c r="K30" i="4"/>
  <c r="O30" i="4"/>
  <c r="B15" i="3"/>
  <c r="B6" i="3"/>
  <c r="B7" i="3"/>
  <c r="A4" i="6" s="1"/>
  <c r="B8" i="3"/>
  <c r="B9" i="3"/>
  <c r="C27" i="5" l="1"/>
  <c r="C28" i="5" s="1"/>
  <c r="H9" i="4"/>
  <c r="I9" i="4" s="1"/>
  <c r="H15" i="4"/>
  <c r="I15" i="4" s="1"/>
  <c r="H23" i="4"/>
  <c r="I23" i="4" s="1"/>
  <c r="H8" i="4"/>
  <c r="I8" i="4" s="1"/>
  <c r="N7" i="4"/>
  <c r="H25" i="4"/>
  <c r="I25" i="4" s="1"/>
  <c r="L24" i="4"/>
  <c r="H21" i="4"/>
  <c r="I21" i="4" s="1"/>
  <c r="L20" i="4"/>
  <c r="H17" i="4"/>
  <c r="I17" i="4" s="1"/>
  <c r="N16" i="4"/>
  <c r="L22" i="4"/>
  <c r="H19" i="4"/>
  <c r="I19" i="4" s="1"/>
  <c r="L26" i="4"/>
  <c r="H29" i="4"/>
  <c r="I29" i="4" s="1"/>
  <c r="N17" i="4"/>
  <c r="P11" i="4"/>
  <c r="L9" i="4"/>
  <c r="Y9" i="4" s="1"/>
  <c r="Z9" i="4" s="1"/>
  <c r="F31" i="4"/>
  <c r="B9" i="5"/>
  <c r="N23" i="4"/>
  <c r="H30" i="4"/>
  <c r="I30" i="4" s="1"/>
  <c r="M30" i="4" s="1"/>
  <c r="AB27" i="4"/>
  <c r="D6" i="8" s="1"/>
  <c r="H24" i="4"/>
  <c r="I24" i="4" s="1"/>
  <c r="M24" i="4" s="1"/>
  <c r="L23" i="4"/>
  <c r="H20" i="4"/>
  <c r="I20" i="4" s="1"/>
  <c r="M20" i="4" s="1"/>
  <c r="H13" i="4"/>
  <c r="I13" i="4" s="1"/>
  <c r="H12" i="4"/>
  <c r="I12" i="4" s="1"/>
  <c r="H7" i="4"/>
  <c r="I7" i="4" s="1"/>
  <c r="G38" i="5"/>
  <c r="G31" i="4"/>
  <c r="N25" i="4"/>
  <c r="N21" i="4"/>
  <c r="L16" i="4"/>
  <c r="Y16" i="4" s="1"/>
  <c r="Z16" i="4" s="1"/>
  <c r="F12" i="5" s="1"/>
  <c r="H14" i="4"/>
  <c r="I14" i="4" s="1"/>
  <c r="L11" i="4"/>
  <c r="B13" i="5"/>
  <c r="G40" i="5"/>
  <c r="H26" i="4"/>
  <c r="I26" i="4" s="1"/>
  <c r="L25" i="4"/>
  <c r="Y25" i="4" s="1"/>
  <c r="Z25" i="4" s="1"/>
  <c r="F15" i="5" s="1"/>
  <c r="H22" i="4"/>
  <c r="I22" i="4" s="1"/>
  <c r="M22" i="4" s="1"/>
  <c r="N15" i="4"/>
  <c r="N10" i="4"/>
  <c r="P9" i="4"/>
  <c r="E31" i="4"/>
  <c r="V16" i="4"/>
  <c r="F7" i="8"/>
  <c r="L21" i="4"/>
  <c r="AA21" i="4" s="1"/>
  <c r="E13" i="5" s="1"/>
  <c r="N30" i="4"/>
  <c r="P29" i="4"/>
  <c r="H16" i="4"/>
  <c r="I16" i="4" s="1"/>
  <c r="H11" i="4"/>
  <c r="I11" i="4" s="1"/>
  <c r="L10" i="4"/>
  <c r="AA10" i="4" s="1"/>
  <c r="E9" i="5" s="1"/>
  <c r="B17" i="5"/>
  <c r="H27" i="4"/>
  <c r="I27" i="4" s="1"/>
  <c r="H18" i="4"/>
  <c r="I18" i="4" s="1"/>
  <c r="N12" i="4"/>
  <c r="P8" i="4"/>
  <c r="L7" i="4"/>
  <c r="AA7" i="4"/>
  <c r="E6" i="5" s="1"/>
  <c r="I7" i="6"/>
  <c r="F7" i="5"/>
  <c r="D7" i="8"/>
  <c r="F39" i="5"/>
  <c r="A19" i="7"/>
  <c r="I12" i="6"/>
  <c r="F17" i="5"/>
  <c r="F12" i="6"/>
  <c r="G12" i="6" s="1"/>
  <c r="J12" i="6"/>
  <c r="F16" i="5"/>
  <c r="J10" i="6"/>
  <c r="F10" i="6"/>
  <c r="G10" i="6" s="1"/>
  <c r="F8" i="5"/>
  <c r="AB29" i="4"/>
  <c r="N6" i="4"/>
  <c r="Y7" i="4"/>
  <c r="B40" i="5"/>
  <c r="D12" i="6"/>
  <c r="D11" i="6"/>
  <c r="D9" i="6"/>
  <c r="D7" i="6"/>
  <c r="L30" i="4"/>
  <c r="N24" i="4"/>
  <c r="N22" i="4"/>
  <c r="N20" i="4"/>
  <c r="L18" i="4"/>
  <c r="L17" i="4"/>
  <c r="L15" i="4"/>
  <c r="N11" i="4"/>
  <c r="N9" i="4"/>
  <c r="AA9" i="4"/>
  <c r="E8" i="5" s="1"/>
  <c r="B14" i="5"/>
  <c r="B10" i="5"/>
  <c r="D10" i="6"/>
  <c r="D8" i="6"/>
  <c r="N28" i="4"/>
  <c r="H28" i="4"/>
  <c r="I28" i="4" s="1"/>
  <c r="L29" i="4"/>
  <c r="P25" i="4"/>
  <c r="AA22" i="4"/>
  <c r="E14" i="5" s="1"/>
  <c r="B38" i="5"/>
  <c r="B11" i="6"/>
  <c r="B9" i="6"/>
  <c r="B7" i="6"/>
  <c r="AA27" i="4"/>
  <c r="E16" i="5" s="1"/>
  <c r="AA11" i="4"/>
  <c r="E10" i="5" s="1"/>
  <c r="B11" i="5"/>
  <c r="A11" i="6"/>
  <c r="B10" i="6"/>
  <c r="A9" i="6"/>
  <c r="A7" i="6"/>
  <c r="N27" i="4"/>
  <c r="M25" i="4"/>
  <c r="M23" i="4"/>
  <c r="M21" i="4"/>
  <c r="L19" i="4"/>
  <c r="M12" i="4"/>
  <c r="M10" i="4"/>
  <c r="L8" i="4"/>
  <c r="AA29" i="4"/>
  <c r="E17" i="5" s="1"/>
  <c r="Y22" i="4"/>
  <c r="Z22" i="4" s="1"/>
  <c r="Y11" i="4"/>
  <c r="Z11" i="4" s="1"/>
  <c r="AA8" i="4"/>
  <c r="E7" i="5" s="1"/>
  <c r="A8" i="6"/>
  <c r="M8" i="4"/>
  <c r="B39" i="5"/>
  <c r="L27" i="4"/>
  <c r="N8" i="4"/>
  <c r="L6" i="4"/>
  <c r="M16" i="4"/>
  <c r="M7" i="4"/>
  <c r="M17" i="4"/>
  <c r="M15" i="4"/>
  <c r="M6" i="4"/>
  <c r="M11" i="4"/>
  <c r="M9" i="4"/>
  <c r="AB31" i="4" l="1"/>
  <c r="F9" i="7" s="1"/>
  <c r="F14" i="7" s="1"/>
  <c r="I31" i="4"/>
  <c r="Y10" i="4"/>
  <c r="Z10" i="4" s="1"/>
  <c r="F9" i="5" s="1"/>
  <c r="A18" i="7"/>
  <c r="I10" i="6"/>
  <c r="F38" i="5"/>
  <c r="AA16" i="4"/>
  <c r="E12" i="5" s="1"/>
  <c r="AA25" i="4"/>
  <c r="E15" i="5" s="1"/>
  <c r="Y21" i="4"/>
  <c r="Z21" i="4" s="1"/>
  <c r="F13" i="5" s="1"/>
  <c r="I8" i="6"/>
  <c r="F10" i="5"/>
  <c r="I9" i="6"/>
  <c r="F14" i="5"/>
  <c r="E10" i="7"/>
  <c r="H31" i="4"/>
  <c r="Z7" i="4"/>
  <c r="E11" i="7"/>
  <c r="F7" i="6"/>
  <c r="G7" i="6" s="1"/>
  <c r="J7" i="6"/>
  <c r="F9" i="6"/>
  <c r="G9" i="6" s="1"/>
  <c r="J9" i="6"/>
  <c r="F40" i="5"/>
  <c r="D8" i="8"/>
  <c r="D9" i="8" s="1"/>
  <c r="J8" i="6"/>
  <c r="F8" i="6"/>
  <c r="G8" i="6" s="1"/>
  <c r="Y15" i="4"/>
  <c r="Z15" i="4" s="1"/>
  <c r="AA15" i="4"/>
  <c r="E11" i="5" s="1"/>
  <c r="F11" i="6"/>
  <c r="G11" i="6" s="1"/>
  <c r="J11" i="6"/>
  <c r="F41" i="5" l="1"/>
  <c r="F42" i="5" s="1"/>
  <c r="Y31" i="4"/>
  <c r="E13" i="7"/>
  <c r="F11" i="5"/>
  <c r="E12" i="7"/>
  <c r="E14" i="7" s="1"/>
  <c r="F6" i="5"/>
  <c r="Z31" i="4"/>
  <c r="F18" i="5" l="1"/>
</calcChain>
</file>

<file path=xl/sharedStrings.xml><?xml version="1.0" encoding="utf-8"?>
<sst xmlns="http://schemas.openxmlformats.org/spreadsheetml/2006/main" count="620" uniqueCount="403">
  <si>
    <t>Tool</t>
  </si>
  <si>
    <t>Category</t>
  </si>
  <si>
    <t>Owner</t>
  </si>
  <si>
    <t>Billing</t>
  </si>
  <si>
    <t>Jul</t>
  </si>
  <si>
    <t>Aug</t>
  </si>
  <si>
    <t>Sep</t>
  </si>
  <si>
    <t>Seats_Paid</t>
  </si>
  <si>
    <t>Active_Users_30d</t>
  </si>
  <si>
    <t>Renewal_Date</t>
  </si>
  <si>
    <t>Notes</t>
  </si>
  <si>
    <t>Microsoft 365 Business Standard</t>
  </si>
  <si>
    <t>Productivity</t>
  </si>
  <si>
    <t>Marcus</t>
  </si>
  <si>
    <t>Monthly</t>
  </si>
  <si>
    <t>2027-01-01</t>
  </si>
  <si>
    <t>Company standard</t>
  </si>
  <si>
    <t>Google Workspace</t>
  </si>
  <si>
    <t>Marketing</t>
  </si>
  <si>
    <t>Legacy marketing accounts</t>
  </si>
  <si>
    <t>Zoom Pro</t>
  </si>
  <si>
    <t>Meetings</t>
  </si>
  <si>
    <t>Annual auto-renew billed monthly</t>
  </si>
  <si>
    <t>2026-11-01</t>
  </si>
  <si>
    <t>Teams is company standard</t>
  </si>
  <si>
    <t>Slack Pro</t>
  </si>
  <si>
    <t>Chat</t>
  </si>
  <si>
    <t>Asana Premium</t>
  </si>
  <si>
    <t>Projects</t>
  </si>
  <si>
    <t>Company project tool</t>
  </si>
  <si>
    <t>Monday.com Standard</t>
  </si>
  <si>
    <t>Sales</t>
  </si>
  <si>
    <t>2026-11-15</t>
  </si>
  <si>
    <t>Sales trial from 2025</t>
  </si>
  <si>
    <t>HubSpot Sales Pro</t>
  </si>
  <si>
    <t>CRM</t>
  </si>
  <si>
    <t>Priya</t>
  </si>
  <si>
    <t>Shopify Plus</t>
  </si>
  <si>
    <t>E-commerce</t>
  </si>
  <si>
    <t>Core platform</t>
  </si>
  <si>
    <t>Klaviyo</t>
  </si>
  <si>
    <t>Email marketing</t>
  </si>
  <si>
    <t>Billed by list size</t>
  </si>
  <si>
    <t>Canva Teams</t>
  </si>
  <si>
    <t>Design</t>
  </si>
  <si>
    <t>Adobe Creative Cloud</t>
  </si>
  <si>
    <t>Annual billed monthly</t>
  </si>
  <si>
    <t>2026-12-12</t>
  </si>
  <si>
    <t>Designer left 14 Aug</t>
  </si>
  <si>
    <t>DocuSign Standard</t>
  </si>
  <si>
    <t>Legal</t>
  </si>
  <si>
    <t>Tom</t>
  </si>
  <si>
    <t>QuickBooks Online Advanced</t>
  </si>
  <si>
    <t>Finance</t>
  </si>
  <si>
    <t>Gusto</t>
  </si>
  <si>
    <t>Payroll</t>
  </si>
  <si>
    <t>Janelle</t>
  </si>
  <si>
    <t>Billed per employee</t>
  </si>
  <si>
    <t>Calendly Teams</t>
  </si>
  <si>
    <t>Scheduling</t>
  </si>
  <si>
    <t>Loom Business</t>
  </si>
  <si>
    <t>Video</t>
  </si>
  <si>
    <t>Dropbox Business</t>
  </si>
  <si>
    <t>Storage</t>
  </si>
  <si>
    <t>2026-11-30</t>
  </si>
  <si>
    <t>Files moved to SharePoint in June</t>
  </si>
  <si>
    <t>ShipStation</t>
  </si>
  <si>
    <t>Shipping</t>
  </si>
  <si>
    <t>Luis</t>
  </si>
  <si>
    <t>Warehouse shipping labels</t>
  </si>
  <si>
    <t>Gorgias</t>
  </si>
  <si>
    <t>Customer service</t>
  </si>
  <si>
    <t>Help desk</t>
  </si>
  <si>
    <t>Grammarly Business</t>
  </si>
  <si>
    <t>Writing</t>
  </si>
  <si>
    <t>Zapier Team</t>
  </si>
  <si>
    <t>Automation</t>
  </si>
  <si>
    <t>Notion Plus</t>
  </si>
  <si>
    <t>Docs</t>
  </si>
  <si>
    <t>Cancellation confirmed by vendor email 30 Jun</t>
  </si>
  <si>
    <t>LinkedIn Sales Navigator</t>
  </si>
  <si>
    <t>Annual</t>
  </si>
  <si>
    <t>2027-08-05</t>
  </si>
  <si>
    <t>Annual 2-seat plan $1,600</t>
  </si>
  <si>
    <t>Hootsuite</t>
  </si>
  <si>
    <t>Social media</t>
  </si>
  <si>
    <t>Annual prepaid</t>
  </si>
  <si>
    <t>2027-01-15</t>
  </si>
  <si>
    <t>Contract: $2,388 annual prepaid in Jan 2026</t>
  </si>
  <si>
    <t>Expensify</t>
  </si>
  <si>
    <t>Expenses</t>
  </si>
  <si>
    <t>Billed per active submitter</t>
  </si>
  <si>
    <t>Inputs &amp; assumptions (blue = input)</t>
  </si>
  <si>
    <t>Input</t>
  </si>
  <si>
    <t>Value</t>
  </si>
  <si>
    <t>Source / note</t>
  </si>
  <si>
    <t>Review date</t>
  </si>
  <si>
    <t>Scenario date (Fri 16 Oct 2026); analysis prepared 17 Oct</t>
  </si>
  <si>
    <t>Renewal window start</t>
  </si>
  <si>
    <t>Task brief s2</t>
  </si>
  <si>
    <t>Renewal window end</t>
  </si>
  <si>
    <t>Freeze ends</t>
  </si>
  <si>
    <t>Brief 4C: no changes before 15 Jan 2027</t>
  </si>
  <si>
    <t>Annual savings target ($)</t>
  </si>
  <si>
    <t>Dana via Marcus email</t>
  </si>
  <si>
    <t>Renewal action lead time (days)</t>
  </si>
  <si>
    <t>Assumption: act 10 days before renewal; confirm notice terms in each contract</t>
  </si>
  <si>
    <t>Months per year</t>
  </si>
  <si>
    <t>Constant</t>
  </si>
  <si>
    <t>LinkedIn Sales Navigator contract ($/yr)</t>
  </si>
  <si>
    <t>Hootsuite contract ($/yr, prepaid Jan 2026)</t>
  </si>
  <si>
    <t>Notion cancellation confirmed</t>
  </si>
  <si>
    <t>Permanent headcount</t>
  </si>
  <si>
    <t>Brief 4B</t>
  </si>
  <si>
    <t>Peak-season temps (start 1 Nov, Reno warehouse)</t>
  </si>
  <si>
    <t>Brief 4B; access = ShipStation + shared warehouse M365 account</t>
  </si>
  <si>
    <t>Freeze list (no changes before 15 Jan 2027)</t>
  </si>
  <si>
    <t>Company standards</t>
  </si>
  <si>
    <t>Outlook, Teams, SharePoint</t>
  </si>
  <si>
    <t>Jul ($)</t>
  </si>
  <si>
    <t>Aug ($)</t>
  </si>
  <si>
    <t>Sep ($)</t>
  </si>
  <si>
    <t>Q3 spend ($)</t>
  </si>
  <si>
    <t>Monthly run-rate ($) [Q3/3]</t>
  </si>
  <si>
    <t>Seats paid</t>
  </si>
  <si>
    <t>Active users (30d)</t>
  </si>
  <si>
    <t>Price per seat ($, Sep)</t>
  </si>
  <si>
    <t>Cost per active user ($/mo)</t>
  </si>
  <si>
    <t>Unused seats</t>
  </si>
  <si>
    <t>Renewal date</t>
  </si>
  <si>
    <t>Freeze list?</t>
  </si>
  <si>
    <t>Duplicates a standard?</t>
  </si>
  <si>
    <t>Classification</t>
  </si>
  <si>
    <t>Finding / evidence</t>
  </si>
  <si>
    <t>Recommended action</t>
  </si>
  <si>
    <t>Action owner</t>
  </si>
  <si>
    <t>Action date</t>
  </si>
  <si>
    <t>Saving basis</t>
  </si>
  <si>
    <t>Seats to cut</t>
  </si>
  <si>
    <t>Monthly saving ($)</t>
  </si>
  <si>
    <t>Annual saving ($)</t>
  </si>
  <si>
    <t>Calculation</t>
  </si>
  <si>
    <t>One-off recovery ($)</t>
  </si>
  <si>
    <t>Is standard</t>
  </si>
  <si>
    <t>Keep</t>
  </si>
  <si>
    <t>85 seats = 85 permanent staff; 6 no login in 30d. 20 temps start 1 Nov and use a shared warehouse M365 account.</t>
  </si>
  <si>
    <t>No cut now. At 1 Jan renewal review the 6 inactive seats after confirming the shared warehouse seat and any staff on leave.</t>
  </si>
  <si>
    <t>None</t>
  </si>
  <si>
    <t>Yes – M365 (mail, Drive)</t>
  </si>
  <si>
    <t>Duplicate tool</t>
  </si>
  <si>
    <t>Legacy marketing accounts; 3 of 12 seats active. Duplicates Outlook/OneDrive/SharePoint.</t>
  </si>
  <si>
    <t>Migrate the 3 active users' mail and Drive files to M365, then cancel all 12 seats (monthly plan).</t>
  </si>
  <si>
    <t>Marketing lead + Marcus</t>
  </si>
  <si>
    <t>Cancel</t>
  </si>
  <si>
    <t>Yes – Teams</t>
  </si>
  <si>
    <t>Renewal risk</t>
  </si>
  <si>
    <t>Annual auto-renew on 1 Nov 2026; 2 of 10 seats active; Teams is company standard.</t>
  </si>
  <si>
    <t>Turn off auto-renew before 1 Nov; move the 2 users and any recurring meeting links to Teams.</t>
  </si>
  <si>
    <t>Marketing lead</t>
  </si>
  <si>
    <t>Yes – Teams (chat)</t>
  </si>
  <si>
    <t>27 of 30 seats active. Duplicates Teams but is heavily used; switching chat during peak season is a risk.</t>
  </si>
  <si>
    <t>Remove 3 unused seats at next monthly bill. Review moving to Teams after 15 Jan (not counted in savings).</t>
  </si>
  <si>
    <t>Seat cut</t>
  </si>
  <si>
    <t>22 of 25 seats active; company project standard.</t>
  </si>
  <si>
    <t>Remove 2 unused seats; keep 1 spare for the Monday.com user moving across.</t>
  </si>
  <si>
    <t>Yes – Asana</t>
  </si>
  <si>
    <t>Sales trial from 2025, now annual auto-renew on 15 Nov 2026; 1 of 10 seats active.</t>
  </si>
  <si>
    <t>Turn off auto-renew before 15 Nov; export the active user's boards to Asana.</t>
  </si>
  <si>
    <t>Sales lead</t>
  </si>
  <si>
    <t>No</t>
  </si>
  <si>
    <t>Freeze list. 5 of 5 seats active.</t>
  </si>
  <si>
    <t>No change before 15 Jan 2027.</t>
  </si>
  <si>
    <t>Freeze list. Core platform.</t>
  </si>
  <si>
    <t>Freeze list. Sep $945 vs $720 in Jul–Aug (+$225, +31%). Billed by list size, so a step up to a higher tier as the list grows before peak is plausible. Not treated as an error.</t>
  </si>
  <si>
    <t>No change before 15 Jan. Ask Marketing for Aug vs Sep list size and the vendor's tier price to confirm; dispute only if the tier doesn't match.</t>
  </si>
  <si>
    <t>Marketing lead / Tom</t>
  </si>
  <si>
    <t>6 of 10 seats active.</t>
  </si>
  <si>
    <t>Remove 4 unused seats at next monthly bill.</t>
  </si>
  <si>
    <t>Annual plan billed monthly, renews 12 Dec 2026. 2 of 4 seats active; designer left 14 Aug.</t>
  </si>
  <si>
    <t>Remove the leaver's access now. At the 12 Dec renewal reduce from 4 to 2 seats (annual plan can't be cut mid-term).</t>
  </si>
  <si>
    <t>3 of 3 seats active.</t>
  </si>
  <si>
    <t>No change.</t>
  </si>
  <si>
    <t>Finance system; account-based (no seat data).</t>
  </si>
  <si>
    <t>Billed per employee; $596/mo flat for Jul–Sep although the designer left 14 Aug.</t>
  </si>
  <si>
    <t>No change. Janelle to confirm the leaver was removed and the billed headcount matches 85 (check only, not counted).</t>
  </si>
  <si>
    <t>8 of 8 seats active.</t>
  </si>
  <si>
    <t>Partly – Teams/Stream recording</t>
  </si>
  <si>
    <t>4 of 15 seats active.</t>
  </si>
  <si>
    <t>Remove 11 unused seats at next monthly bill; keep 4 for current users.</t>
  </si>
  <si>
    <t>Yes – SharePoint</t>
  </si>
  <si>
    <t>Annual auto-renew on 30 Nov 2026. Files moved to SharePoint in June, yet 5 of 20 seats still log in.</t>
  </si>
  <si>
    <t>Confirm with the 5 active users that nothing is left un-migrated, then turn off auto-renew before 30 Nov.</t>
  </si>
  <si>
    <t>Freeze list. 5 of 5 seats active; temps start 1 Nov and use it.</t>
  </si>
  <si>
    <t>No change before 15 Jan 2027. Check seat capacity for temps.</t>
  </si>
  <si>
    <t>Freeze list. 6 of 6 seats active.</t>
  </si>
  <si>
    <t>11 of 15 seats active.</t>
  </si>
  <si>
    <t>Account-based (no seat data); automations may support other tools.</t>
  </si>
  <si>
    <t>No change. Check whether any automations use tools being cancelled.</t>
  </si>
  <si>
    <t>Billing error</t>
  </si>
  <si>
    <t>Vendor confirmed cancellation by email on 30 Jun, but $120 was charged in Jul, Aug and Sep. 0 active users.</t>
  </si>
  <si>
    <t>Tom to dispute and request a refund of $360; confirm no further charges.</t>
  </si>
  <si>
    <t>Stop charge</t>
  </si>
  <si>
    <t>Annual 2-seat plan is $1,600, but $3,200 was charged in Aug: a $1,600 overcharge (likely a double charge).</t>
  </si>
  <si>
    <t>Tom to dispute the $1,600 overcharge. Plan stays (2 of 2 active; renews Aug 2027).</t>
  </si>
  <si>
    <t>Contract is $2,388 prepaid in Jan 2026, yet $249/mo was also charged Jul–Sep ($747).</t>
  </si>
  <si>
    <t>Billed per active submitter; 30 of 30 active.</t>
  </si>
  <si>
    <t>Total</t>
  </si>
  <si>
    <t>Data profile of the Q3 export (logged before analysis)</t>
  </si>
  <si>
    <t>#</t>
  </si>
  <si>
    <t>Issue</t>
  </si>
  <si>
    <t>Rows affected (Raw)</t>
  </si>
  <si>
    <t>Treatment in analysis</t>
  </si>
  <si>
    <t>Seats_Paid and Active_Users_30d blank for account-, usage- or employee-billed tools</t>
  </si>
  <si>
    <t>Shopify, Klaviyo, QuickBooks, Gusto, Zapier, Hootsuite</t>
  </si>
  <si>
    <t>Cost per user and unused seats shown as n/a; no seat cuts proposed</t>
  </si>
  <si>
    <t>Renewal_Date mixes ISO dates and the text 'Monthly'</t>
  </si>
  <si>
    <t>Column J, all rows</t>
  </si>
  <si>
    <t>Converted dates with DATE(LEFT/MID/RIGHT); 'Monthly' kept as text</t>
  </si>
  <si>
    <t>Billing labels inconsistent: 'Annual', 'Annual prepaid', 'Annual billed monthly', 'Annual auto-renew billed monthly'</t>
  </si>
  <si>
    <t>Zoom, Monday, Adobe, Dropbox, LinkedIn, Hootsuite</t>
  </si>
  <si>
    <t>All treated as annual commitments: cut only at renewal</t>
  </si>
  <si>
    <t>Owner mixes named people and departments (Marketing, Sales)</t>
  </si>
  <si>
    <t>9 Marketing rows, 3 Sales rows</t>
  </si>
  <si>
    <t>Action owner shown as 'Marketing lead' / 'Sales lead'; Marcus to name a person</t>
  </si>
  <si>
    <t>Usage snapshot (30 days to 9 Oct) differs from spend period (Jul–Sep)</t>
  </si>
  <si>
    <t>All seat rows</t>
  </si>
  <si>
    <t>Unused seats based on the latest snapshot; cuts apply from the next bill</t>
  </si>
  <si>
    <t>LinkedIn: $0 in Jul and Sep, $3,200 in Aug against a $1,600 annual contract</t>
  </si>
  <si>
    <t>Hootsuite: monthly $249 charges on a plan the notes say was prepaid ($2,388, Jan 2026)</t>
  </si>
  <si>
    <t>Notion: charges continue after vendor-confirmed cancellation 30 Jun; 0 active users</t>
  </si>
  <si>
    <t>Flagged as billing error</t>
  </si>
  <si>
    <t>Klaviyo Sep charge up 31% ($720 → $945)</t>
  </si>
  <si>
    <t>Assessed: billed by list size, so plausible tier change; verify list size, not disputed</t>
  </si>
  <si>
    <t>Notes field holds contract amounts as text inside quotes, with commas</t>
  </si>
  <si>
    <t>LinkedIn, Hootsuite</t>
  </si>
  <si>
    <t>Gusto flat at $596 for all 3 months although a designer left 14 Aug</t>
  </si>
  <si>
    <t>Check only; billed headcount to be confirmed by Janelle</t>
  </si>
  <si>
    <t>Adobe: leaver (14 Aug) may still have an assigned seat</t>
  </si>
  <si>
    <t>Remove access now; seat reduction at 12 Dec renewal</t>
  </si>
  <si>
    <t>Action</t>
  </si>
  <si>
    <t>Effective from</t>
  </si>
  <si>
    <t>After migration (Nov)</t>
  </si>
  <si>
    <t>1 Nov renewal</t>
  </si>
  <si>
    <t>Next monthly bill</t>
  </si>
  <si>
    <t>15 Nov renewal</t>
  </si>
  <si>
    <t>12 Dec renewal</t>
  </si>
  <si>
    <t>30 Nov renewal</t>
  </si>
  <si>
    <t>Once stopped</t>
  </si>
  <si>
    <t>Reconciliation</t>
  </si>
  <si>
    <t>Method 1: sum of recommendations above</t>
  </si>
  <si>
    <t>Method 2: sum of Analysis annual-saving column</t>
  </si>
  <si>
    <t>Method 3: by classification – Billing error</t>
  </si>
  <si>
    <t>Method 3: by classification – Unused seats</t>
  </si>
  <si>
    <t>Method 3: by classification – Renewal risk</t>
  </si>
  <si>
    <t>Method 3 total</t>
  </si>
  <si>
    <t>Check (all three methods agree)</t>
  </si>
  <si>
    <t>Target ($/yr)</t>
  </si>
  <si>
    <t>Recurring savings excluding billing-error stops</t>
  </si>
  <si>
    <t>Freeze-list tools cut (must be 0)</t>
  </si>
  <si>
    <t>One-off recoveries (refunds to dispute – not included in recurring savings)</t>
  </si>
  <si>
    <t>Evidence</t>
  </si>
  <si>
    <t>Recovery ($)</t>
  </si>
  <si>
    <t>Send by</t>
  </si>
  <si>
    <t>Jul+Aug+Sep charges after 30 Jun cancellation</t>
  </si>
  <si>
    <t>Jul+Aug+Sep monthly charges on prepaid plan</t>
  </si>
  <si>
    <t>Total one-off recoveries</t>
  </si>
  <si>
    <t>Not cutting, and why</t>
  </si>
  <si>
    <t>Shopify, Klaviyo, Gorgias, ShipStation, HubSpot – peak-season freeze to 15 Jan 2027 (Klaviyo Sep rise is a list-size tier change to verify, not an error).</t>
  </si>
  <si>
    <t>Microsoft 365 – company standard; temps use a shared warehouse account from 1 Nov; 6 inactive seats reviewed at 1 Jan renewal.</t>
  </si>
  <si>
    <t>Slack (beyond 3 unused seats) – 27 active users; moving chat to Teams mid-peak is a risk. Revisit after 15 Jan (up to $2,835/yr more, not counted).</t>
  </si>
  <si>
    <t>LinkedIn Sales Navigator plan – 2 of 2 seats used; only the $1,600 overcharge is disputed.</t>
  </si>
  <si>
    <t>Hootsuite plan – prepaid to 15 Jan 2027; only the extra monthly charges are disputed. Decide on renewal by early Jan.</t>
  </si>
  <si>
    <t>DocuSign, QuickBooks, Gusto, Calendly, Zapier, Expensify – fully used or account-based; no saving found.</t>
  </si>
  <si>
    <t>90-day renewal calendar</t>
  </si>
  <si>
    <t>Current $/mo</t>
  </si>
  <si>
    <t>Decision</t>
  </si>
  <si>
    <t>Days from review to action</t>
  </si>
  <si>
    <t>In window?</t>
  </si>
  <si>
    <t>Cancel – turn off auto-renew</t>
  </si>
  <si>
    <t>Renew at 2 seats (from 4)</t>
  </si>
  <si>
    <t>Renew; review 6 inactive seats</t>
  </si>
  <si>
    <t>Decide renew/cancel; confirm $2,388 rate</t>
  </si>
  <si>
    <t>Not in window: LinkedIn Sales Navigator renews 05-Aug-2027. All other tools are monthly – seat cuts apply at the next monthly bill after 23-Oct-2026.</t>
  </si>
  <si>
    <t>Recommendation: software and subscription savings</t>
  </si>
  <si>
    <t>To: Marcus (COO)     From: Operations     Date: Tue 20 Oct 2026, by 12:00 PM ET</t>
  </si>
  <si>
    <t>Nothing on the peak-season freeze list changes, no annual plan is cut before its renewal date, and I've kept Microsoft 365 as is because the 20 temps start 1 Nov.</t>
  </si>
  <si>
    <t>Top 5 actions for approval</t>
  </si>
  <si>
    <t>Do by</t>
  </si>
  <si>
    <t>Annual saving</t>
  </si>
  <si>
    <t>One-off</t>
  </si>
  <si>
    <t>Turn off Dropbox auto-renew (files moved to SharePoint in June). First check the 5 active users have nothing left to move.</t>
  </si>
  <si>
    <t>Turn off Zoom (by 22 Oct) and Monday.com (by 5 Nov) auto-renew. Move 2 users to Teams and 1 user to Asana.</t>
  </si>
  <si>
    <t>Marketing / Sales leads</t>
  </si>
  <si>
    <t>22 Oct / 5 Nov</t>
  </si>
  <si>
    <t>Retire Google Workspace (12 seats, 3 active) once the 3 users' mail and files are in Microsoft 365.</t>
  </si>
  <si>
    <t>Remove unused seats now: Loom 11, Canva 4, Grammarly 4, Slack 3, Asana 2. Cut Adobe from 4 to 2 seats at its 12 Dec renewal.</t>
  </si>
  <si>
    <t>Tool owners</t>
  </si>
  <si>
    <t>23 Oct / 2 Dec</t>
  </si>
  <si>
    <t>Billing errors to dispute (refund requests)</t>
  </si>
  <si>
    <t>What I'm not cutting, and why</t>
  </si>
  <si>
    <t>• Shopify, Klaviyo, Gorgias, ShipStation, HubSpot: on the peak-season freeze to 15 Jan. Klaviyo's Sep rise ($720 to $945) fits its list-size billing; I'll verify the tier rather than dispute it.</t>
  </si>
  <si>
    <t>• Microsoft 365: company standard. Temps use a shared warehouse account; I'll review the 6 inactive seats before the 1 Jan renewal.</t>
  </si>
  <si>
    <t>• Slack: 27 of 30 seats in use. Moving chat to Teams mid-peak is too risky; I suggest reviewing after 15 Jan (up to $2,835/yr more).</t>
  </si>
  <si>
    <t>• Fully used or account-based tools (DocuSign, QuickBooks, Gusto, Calendly, Zapier, Expensify, LinkedIn): no saving found. Janelle to confirm Gusto's billed headcount is 85.</t>
  </si>
  <si>
    <t>Decision needed: approve actions 1–5 by 21 Oct. Zoom's auto-renew notice is the first deadline (22 Oct). Detail: Analysis, Savings summary and Renewal calendar tabs.</t>
  </si>
  <si>
    <t>Billing dispute drafts for Tom (Controller). Drafted by Ops; Tom reviews and sends. We do not contact vendors directly.</t>
  </si>
  <si>
    <t>Vendor</t>
  </si>
  <si>
    <t>Draft (≤5 sentences)</t>
  </si>
  <si>
    <t>Sentences</t>
  </si>
  <si>
    <t>Amount to recover ($)</t>
  </si>
  <si>
    <t>Evidence to attach</t>
  </si>
  <si>
    <t>Notion</t>
  </si>
  <si>
    <t>Our Notion Plus subscription (10 seats) was cancelled, and Notion confirmed the cancellation by email on 30 June 2026. Despite this, we were charged $120.00 on each of our July, August and September 2026 statements. Please refund the $360.00 charged after cancellation and confirm the account is closed with no further charges. Attached are your 30 June confirmation email and the three statement lines.</t>
  </si>
  <si>
    <t>LinkedIn</t>
  </si>
  <si>
    <t>We hold an annual 2-seat Sales Navigator plan at $1,600 per year, renewing on 5 August. In August 2026 we were charged $3,200, which is double the contracted amount. Please refund the $1,600 overcharge and confirm the plan stays at 2 seats and $1,600 for the current term. Attached are our plan confirmation and the August statement line.</t>
  </si>
  <si>
    <t>We prepaid $2,388 in January 2026 for our annual Hootsuite plan, which runs to 15 January 2027. We have nonetheless been charged $249.00 a month in July, August and September 2026, $747.00 in total. Please refund these charges, stop the monthly billing, and confirm whether similar charges were made from February to June. Attached are the January prepayment invoice and the three statement lines.</t>
  </si>
  <si>
    <t>Not disputed: Klaviyo Sep increase ($720 → $945) – billed by list size; Marketing to confirm list size and tier first. Dispute only if the tier price doesn't match.</t>
  </si>
  <si>
    <t>SOP results log and QA checklist</t>
  </si>
  <si>
    <t>Row</t>
  </si>
  <si>
    <t>Date</t>
  </si>
  <si>
    <t>Task</t>
  </si>
  <si>
    <t>Three-line log</t>
  </si>
  <si>
    <t>Time</t>
  </si>
  <si>
    <t>Sim 5 – Vendor spend review</t>
  </si>
  <si>
    <t>90 min box</t>
  </si>
  <si>
    <t>Status / evidence</t>
  </si>
  <si>
    <t>Profiled the export and logged data issues before analysing</t>
  </si>
  <si>
    <t>Found every billing error (≥3); one-offs separate from recurring</t>
  </si>
  <si>
    <t>Unused seats per tool; annual plans cut only at renewal</t>
  </si>
  <si>
    <t>Duplicates identified vs standards, with migration notes</t>
  </si>
  <si>
    <t>Nothing on freeze list is cut</t>
  </si>
  <si>
    <t>Temps considered before any M365 seat cut</t>
  </si>
  <si>
    <t>Klaviyo Sep increase assessed, not assumed an error</t>
  </si>
  <si>
    <t>Total annual savings ≥ $12,000</t>
  </si>
  <si>
    <t>Renewal calendar covers 17 Oct–14 Jan with action date before each</t>
  </si>
  <si>
    <t>Recommendation one page; disputes ≤5 sentences</t>
  </si>
  <si>
    <t>Savings reconcile by a second method</t>
  </si>
  <si>
    <t>Exported to PDF with label in header</t>
  </si>
  <si>
    <t>23 Oct</t>
  </si>
  <si>
    <t>20 Nov</t>
  </si>
  <si>
    <t>13 Nov</t>
  </si>
  <si>
    <t>Work sample - fictional scenario</t>
  </si>
  <si>
    <t>Analysis - one row per tool (Q3 2026 export; usage = logins in 30 days to 9 Oct 2026)</t>
  </si>
  <si>
    <t>Check vs Analysis one-off total</t>
  </si>
  <si>
    <t>Duplicate (renewal-dated)</t>
  </si>
  <si>
    <t>Tom to dispute the $747 and stop the monthly charge; check February to June statements for more. Plan renews 15 Jan 2027.</t>
  </si>
  <si>
    <t>Savings summary - recurring savings, billing-error stops and one-off refunds kept separate</t>
  </si>
  <si>
    <t>Total annual reduction (incl. billing-error stops)</t>
  </si>
  <si>
    <t>Recurring savings, excl. billing-error stops (headline)</t>
  </si>
  <si>
    <t>Method 3: by classification – Duplicate tool (incl. renewal-dated)</t>
  </si>
  <si>
    <t>Headroom vs target (recurring savings)</t>
  </si>
  <si>
    <t>Total recurring savings (ties to Savings summary)</t>
  </si>
  <si>
    <t>Brief checklist (section 7)</t>
  </si>
  <si>
    <t>Pass – every tool's paid seats compared with 30-day logins; Zoom, Monday.com, Dropbox and Adobe actions fall before their renewal dates</t>
  </si>
  <si>
    <t>Pass – Google Workspace, Zoom, Monday.com and Dropbox duplicate company standards, each with a migration step; Slack noted for review after 15 Jan</t>
  </si>
  <si>
    <t>Pass – no Microsoft 365 seats cut; temps use a shared warehouse account</t>
  </si>
  <si>
    <t>Pass – Sep rise fits Klaviyo's list-size billing; tier to be verified, not disputed</t>
  </si>
  <si>
    <t>Header label on every tab: Pass. PDF export and check: Pending</t>
  </si>
  <si>
    <t>Q3/3 run-rate distorted; seat price and cost per user use the $1,600 annual contract value (Inputs tab)</t>
  </si>
  <si>
    <t>Flagged as billing error; February to June statements to be checked (not in export; January was the prepayment)</t>
  </si>
  <si>
    <t>Contract amounts moved to the Inputs tab as numbers (LinkedIn $1,600, Hootsuite $2,388)</t>
  </si>
  <si>
    <t>Raw!K26 note: Annual 2-seat plan $1,600</t>
  </si>
  <si>
    <t>Raw!K27 note</t>
  </si>
  <si>
    <t>Raw!K25 note: vendor email 30 Jun</t>
  </si>
  <si>
    <t>Aug charge − $1,600 annual contract</t>
  </si>
  <si>
    <t>Vendor cancellation email 30 Jun 2026; card/invoice lines Jul, Aug, Sep (Raw row 25)</t>
  </si>
  <si>
    <t>Order form / plan confirmation ($1,600, 2 seats); Aug 2026 statement line (Raw row 26)</t>
  </si>
  <si>
    <t>Jan 2026 prepaid invoice ($2,388); statement lines Jul, Aug, Sep (Raw row 27); Tom to pull Feb–Jun</t>
  </si>
  <si>
    <t>SOP pre-send QA checklist – 12 checks (run 17 Oct 2026, after the fixes above)</t>
  </si>
  <si>
    <t>SOP check</t>
  </si>
  <si>
    <t>Result</t>
  </si>
  <si>
    <t>Evidence / fix made</t>
  </si>
  <si>
    <t>Every date, name and figure matches its source</t>
  </si>
  <si>
    <t>Fixed</t>
  </si>
  <si>
    <t>6 wrong references corrected: Q3 total pointed at the Expensify row, not the total; the LinkedIn $1,600 contract pointed at 'months per year' (Data issues, Savings summary); the Notion, LinkedIn and Hootsuite source rows were 2 rows off (Inputs notes, dispute evidence). Dispute amounts ($360, $1,600, $747) and action dates (renewal − 10 days) match the export.</t>
  </si>
  <si>
    <t>Times show a time zone; weekdays match dates</t>
  </si>
  <si>
    <t>Pass</t>
  </si>
  <si>
    <t>Memo deadline 'Tue 20 Oct 2026, 12:00 PM ET': 20 Oct 2026 is a Tuesday. It is the only clock time stated.</t>
  </si>
  <si>
    <t>Comparisons are like-for-like</t>
  </si>
  <si>
    <t>Every annual saving is the Sep monthly charge × 12. Klaviyo Sep is compared with Jul–Aug on the same billing basis. One-off refunds and billing-error stops are kept out of the recurring headline.</t>
  </si>
  <si>
    <t>Every stated reason is true</t>
  </si>
  <si>
    <t>Headline said stopping 3 billing errors removes $4,428/yr, but only Notion and Hootsuite recur; LinkedIn is a one-off overcharge. Memo and log now name the two recurring tools.</t>
  </si>
  <si>
    <t>Within every word, sentence and page limit</t>
  </si>
  <si>
    <t>Memo set to print on 1 page; each dispute draft is 4 sentences (limit 5).</t>
  </si>
  <si>
    <t>Tables, statuses and IDs agree with the master tracker (Analysis)</t>
  </si>
  <si>
    <t>Data issues still said Jan–Jun for Hootsuite; now February to June, matching the memo and dispute draft. Headline $14,173 matches across memo, Savings summary, log and QA; all three reconciliation methods agree.</t>
  </si>
  <si>
    <t>No placeholders left</t>
  </si>
  <si>
    <t>Open</t>
  </si>
  <si>
    <t>The time column still says '90 min box' (the limit, not the actual time). Search for update, TBD, [, xx and ?? found nothing else; '[Q3/3]' in an Analysis header is a label.</t>
  </si>
  <si>
    <t>Every page carries its label; no blank pages</t>
  </si>
  <si>
    <t>Pending</t>
  </si>
  <si>
    <t>Label is in the page header on all 9 tabs; wide tabs set to landscape, 1 page wide. Blank pages to be confirmed in the PDF.</t>
  </si>
  <si>
    <t>Exported to PDF and the PDF checked</t>
  </si>
  <si>
    <t>Not yet exported.</t>
  </si>
  <si>
    <t>Re-opened the saved file from the send folder</t>
  </si>
  <si>
    <t>Not yet saved to the send folder.</t>
  </si>
  <si>
    <t>Whole document re-checked after the last edit</t>
  </si>
  <si>
    <t>Every tab re-scanned after the last edit: no error values; totals and refunds tie.</t>
  </si>
  <si>
    <t>Each recipient sees only what they should</t>
  </si>
  <si>
    <t>Dispute drafts contain only the vendor's own billing facts; staff names, the leaver and internal reasons stay in the internal tabs and the memo to Marcus.</t>
  </si>
  <si>
    <t>SOP checklist used?</t>
  </si>
  <si>
    <t>SOP result (12 checks)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</si>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</sst>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-mmm\-yyyy"/>
    <numFmt numFmtId="165" formatCode="#,##0.00;\(#,##0.00\);\-"/>
    <numFmt numFmtId="166" formatCode="0;\-0;\-"/>
    <numFmt numFmtId="167" formatCode="[$$-409]#,##0"/>
    <numFmt numFmtId="168" formatCode="[$$-409]#,##0.00;\([$$-409]#,##0.00\);\-"/>
    <numFmt numFmtId="169" formatCode="[$$-409]#,##0;\([$$-409]#,##0\);\-"/>
    <numFmt numFmtId="170" formatCode="[$$-409]#,##0.00"/>
    <numFmt numFmtId="171" formatCode="[$$-409]#,##0.00;\-[$$-409]#,##0.00;\-"/>
  </numFmts>
  <fonts count="13" x14ac:knownFonts="1">
    <font>
      <sz val="11"/>
      <color theme="1"/>
      <name val="Aptos Narrow"/>
      <family val="2"/>
      <scheme val="minor"/>
    </font>
    <font>
      <b/>
      <sz val="10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i/>
      <sz val="10"/>
      <color rgb="FF008000"/>
      <name val="Calibri"/>
      <family val="2"/>
    </font>
    <font>
      <sz val="10"/>
      <color rgb="FF0000FF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49" fontId="2" fillId="0" borderId="1" xfId="0" applyNumberFormat="1" applyFont="1" applyBorder="1"/>
    <xf numFmtId="0" fontId="3" fillId="0" borderId="0" xfId="0" applyFont="1"/>
    <xf numFmtId="0" fontId="4" fillId="3" borderId="1" xfId="0" applyFont="1" applyFill="1" applyBorder="1"/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169" fontId="2" fillId="0" borderId="1" xfId="0" applyNumberFormat="1" applyFont="1" applyBorder="1" applyAlignment="1">
      <alignment vertical="top" wrapText="1"/>
    </xf>
    <xf numFmtId="169" fontId="3" fillId="0" borderId="1" xfId="0" applyNumberFormat="1" applyFont="1" applyBorder="1"/>
    <xf numFmtId="0" fontId="5" fillId="0" borderId="0" xfId="0" applyFont="1"/>
    <xf numFmtId="0" fontId="4" fillId="2" borderId="1" xfId="0" applyFont="1" applyFill="1" applyBorder="1"/>
    <xf numFmtId="164" fontId="6" fillId="0" borderId="1" xfId="0" applyNumberFormat="1" applyFont="1" applyBorder="1"/>
    <xf numFmtId="167" fontId="6" fillId="0" borderId="1" xfId="0" applyNumberFormat="1" applyFont="1" applyBorder="1"/>
    <xf numFmtId="0" fontId="6" fillId="0" borderId="1" xfId="0" applyFont="1" applyBorder="1"/>
    <xf numFmtId="0" fontId="6" fillId="0" borderId="0" xfId="0" applyFont="1"/>
    <xf numFmtId="0" fontId="7" fillId="3" borderId="1" xfId="0" applyFont="1" applyFill="1" applyBorder="1" applyAlignment="1">
      <alignment vertical="top" wrapText="1"/>
    </xf>
    <xf numFmtId="0" fontId="8" fillId="0" borderId="0" xfId="0" applyFont="1"/>
    <xf numFmtId="0" fontId="9" fillId="0" borderId="1" xfId="0" applyFont="1" applyBorder="1" applyAlignment="1">
      <alignment vertical="top" wrapText="1"/>
    </xf>
    <xf numFmtId="165" fontId="9" fillId="0" borderId="1" xfId="0" applyNumberFormat="1" applyFont="1" applyBorder="1" applyAlignment="1">
      <alignment vertical="top" wrapText="1"/>
    </xf>
    <xf numFmtId="1" fontId="9" fillId="0" borderId="1" xfId="0" applyNumberFormat="1" applyFont="1" applyBorder="1" applyAlignment="1">
      <alignment vertical="top" wrapText="1"/>
    </xf>
    <xf numFmtId="166" fontId="9" fillId="0" borderId="1" xfId="0" applyNumberFormat="1" applyFont="1" applyBorder="1" applyAlignment="1">
      <alignment vertical="top" wrapText="1"/>
    </xf>
    <xf numFmtId="164" fontId="9" fillId="0" borderId="1" xfId="0" applyNumberFormat="1" applyFont="1" applyBorder="1" applyAlignment="1">
      <alignment vertical="top" wrapText="1"/>
    </xf>
    <xf numFmtId="0" fontId="10" fillId="0" borderId="1" xfId="0" applyFont="1" applyBorder="1"/>
    <xf numFmtId="165" fontId="10" fillId="0" borderId="1" xfId="0" applyNumberFormat="1" applyFont="1" applyBorder="1"/>
    <xf numFmtId="0" fontId="4" fillId="3" borderId="1" xfId="0" applyFont="1" applyFill="1" applyBorder="1" applyAlignment="1">
      <alignment wrapText="1"/>
    </xf>
    <xf numFmtId="0" fontId="11" fillId="0" borderId="1" xfId="0" applyFont="1" applyBorder="1" applyAlignment="1">
      <alignment vertical="top" wrapText="1"/>
    </xf>
    <xf numFmtId="168" fontId="1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168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4" fillId="3" borderId="1" xfId="0" applyFont="1" applyFill="1" applyBorder="1" applyAlignment="1">
      <alignment vertical="top" wrapText="1"/>
    </xf>
    <xf numFmtId="168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8" fontId="3" fillId="0" borderId="1" xfId="0" applyNumberFormat="1" applyFont="1" applyBorder="1"/>
    <xf numFmtId="0" fontId="12" fillId="0" borderId="0" xfId="0" applyFont="1"/>
    <xf numFmtId="0" fontId="7" fillId="3" borderId="1" xfId="0" applyFont="1" applyFill="1" applyBorder="1" applyAlignment="1">
      <alignment wrapText="1"/>
    </xf>
    <xf numFmtId="0" fontId="9" fillId="0" borderId="0" xfId="0" applyFont="1"/>
    <xf numFmtId="16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8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4" fillId="3" borderId="0" xfId="0" applyFont="1" applyFill="1"/>
    <xf numFmtId="15" fontId="2" fillId="0" borderId="1" xfId="0" applyNumberFormat="1" applyFont="1" applyBorder="1" applyAlignment="1">
      <alignment vertical="top" wrapText="1"/>
    </xf>
    <xf numFmtId="170" fontId="2" fillId="0" borderId="1" xfId="0" applyNumberFormat="1" applyFont="1" applyBorder="1" applyAlignment="1">
      <alignment vertical="top" wrapText="1"/>
    </xf>
    <xf numFmtId="170" fontId="3" fillId="0" borderId="1" xfId="0" applyNumberFormat="1" applyFont="1" applyBorder="1"/>
    <xf numFmtId="170" fontId="2" fillId="0" borderId="0" xfId="0" applyNumberFormat="1" applyFont="1" applyAlignment="1">
      <alignment vertical="top"/>
    </xf>
    <xf numFmtId="171" fontId="2" fillId="0" borderId="0" xfId="0" applyNumberFormat="1" applyFont="1" applyAlignment="1">
      <alignment vertical="top"/>
    </xf>
    <xf numFmtId="168" fontId="2" fillId="0" borderId="1" xfId="0" applyNumberFormat="1" applyFont="1" applyBorder="1" applyAlignment="1">
      <alignment vertical="top"/>
    </xf>
    <xf numFmtId="168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5">
    <dxf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4B084"/>
        </patternFill>
      </fill>
    </dxf>
    <dxf>
      <fill>
        <patternFill patternType="solid">
          <fgColor indexed="64"/>
          <bgColor rgb="FFBDD7EE"/>
        </patternFill>
      </fill>
    </dxf>
    <dxf>
      <fill>
        <patternFill patternType="solid">
          <fgColor indexed="64"/>
          <bgColor rgb="FFFFE699"/>
        </patternFill>
      </fill>
    </dxf>
    <dxf>
      <fill>
        <patternFill patternType="solid">
          <fgColor indexed="64"/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3F41118-3263-4E88-AF27-528BF75D8FC7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1577dc6f-3aad-4283-b6ce-d9abfdab6c6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34E3-5832-474B-B362-50FA1A73103B}">
  <sheetPr>
    <pageSetUpPr fitToPage="1"/>
  </sheetPr>
  <dimension ref="A1:K28"/>
  <sheetViews>
    <sheetView workbookViewId="0">
      <selection activeCell="B11" sqref="B11"/>
    </sheetView>
  </sheetViews>
  <sheetFormatPr defaultRowHeight="12.75" x14ac:dyDescent="0.2"/>
  <cols>
    <col min="1" max="1" width="27.7109375" style="2" bestFit="1" customWidth="1"/>
    <col min="2" max="2" width="14.5703125" style="2" bestFit="1" customWidth="1"/>
    <col min="3" max="3" width="9" style="2" bestFit="1" customWidth="1"/>
    <col min="4" max="4" width="28.28515625" style="2" bestFit="1" customWidth="1"/>
    <col min="5" max="7" width="7.85546875" style="2" bestFit="1" customWidth="1"/>
    <col min="8" max="8" width="9.28515625" style="2" bestFit="1" customWidth="1"/>
    <col min="9" max="9" width="15" style="2" bestFit="1" customWidth="1"/>
    <col min="10" max="10" width="12.28515625" style="2" bestFit="1" customWidth="1"/>
    <col min="11" max="11" width="38.85546875" style="2" bestFit="1" customWidth="1"/>
    <col min="12" max="16384" width="9.140625" style="2"/>
  </cols>
  <sheetData>
    <row r="1" spans="1:11" x14ac:dyDescent="0.2">
      <c r="A1" s="1" t="s">
        <v>341</v>
      </c>
    </row>
    <row r="3" spans="1:1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K3" s="3" t="s">
        <v>10</v>
      </c>
    </row>
    <row r="4" spans="1:11" x14ac:dyDescent="0.2">
      <c r="A4" s="5" t="s">
        <v>11</v>
      </c>
      <c r="B4" s="5" t="s">
        <v>12</v>
      </c>
      <c r="C4" s="5" t="s">
        <v>13</v>
      </c>
      <c r="D4" s="5" t="s">
        <v>14</v>
      </c>
      <c r="E4" s="6">
        <v>1062.5</v>
      </c>
      <c r="F4" s="6">
        <v>1062.5</v>
      </c>
      <c r="G4" s="6">
        <v>1062.5</v>
      </c>
      <c r="H4" s="5">
        <v>85</v>
      </c>
      <c r="I4" s="5">
        <v>79</v>
      </c>
      <c r="J4" s="7" t="s">
        <v>15</v>
      </c>
      <c r="K4" s="5" t="s">
        <v>16</v>
      </c>
    </row>
    <row r="5" spans="1:11" x14ac:dyDescent="0.2">
      <c r="A5" s="5" t="s">
        <v>17</v>
      </c>
      <c r="B5" s="5" t="s">
        <v>12</v>
      </c>
      <c r="C5" s="5" t="s">
        <v>18</v>
      </c>
      <c r="D5" s="5" t="s">
        <v>14</v>
      </c>
      <c r="E5" s="6">
        <v>168</v>
      </c>
      <c r="F5" s="6">
        <v>168</v>
      </c>
      <c r="G5" s="6">
        <v>168</v>
      </c>
      <c r="H5" s="5">
        <v>12</v>
      </c>
      <c r="I5" s="5">
        <v>3</v>
      </c>
      <c r="J5" s="7" t="s">
        <v>14</v>
      </c>
      <c r="K5" s="5" t="s">
        <v>19</v>
      </c>
    </row>
    <row r="6" spans="1:11" x14ac:dyDescent="0.2">
      <c r="A6" s="5" t="s">
        <v>20</v>
      </c>
      <c r="B6" s="5" t="s">
        <v>21</v>
      </c>
      <c r="C6" s="5" t="s">
        <v>18</v>
      </c>
      <c r="D6" s="5" t="s">
        <v>22</v>
      </c>
      <c r="E6" s="6">
        <v>159.9</v>
      </c>
      <c r="F6" s="6">
        <v>159.9</v>
      </c>
      <c r="G6" s="6">
        <v>159.9</v>
      </c>
      <c r="H6" s="5">
        <v>10</v>
      </c>
      <c r="I6" s="5">
        <v>2</v>
      </c>
      <c r="J6" s="7" t="s">
        <v>23</v>
      </c>
      <c r="K6" s="5" t="s">
        <v>24</v>
      </c>
    </row>
    <row r="7" spans="1:11" x14ac:dyDescent="0.2">
      <c r="A7" s="5" t="s">
        <v>25</v>
      </c>
      <c r="B7" s="5" t="s">
        <v>26</v>
      </c>
      <c r="C7" s="5" t="s">
        <v>13</v>
      </c>
      <c r="D7" s="5" t="s">
        <v>14</v>
      </c>
      <c r="E7" s="6">
        <v>262.5</v>
      </c>
      <c r="F7" s="6">
        <v>262.5</v>
      </c>
      <c r="G7" s="6">
        <v>262.5</v>
      </c>
      <c r="H7" s="5">
        <v>30</v>
      </c>
      <c r="I7" s="5">
        <v>27</v>
      </c>
      <c r="J7" s="7" t="s">
        <v>14</v>
      </c>
      <c r="K7" s="5"/>
    </row>
    <row r="8" spans="1:11" x14ac:dyDescent="0.2">
      <c r="A8" s="5" t="s">
        <v>27</v>
      </c>
      <c r="B8" s="5" t="s">
        <v>28</v>
      </c>
      <c r="C8" s="5" t="s">
        <v>13</v>
      </c>
      <c r="D8" s="5" t="s">
        <v>14</v>
      </c>
      <c r="E8" s="6">
        <v>274.75</v>
      </c>
      <c r="F8" s="6">
        <v>274.75</v>
      </c>
      <c r="G8" s="6">
        <v>274.75</v>
      </c>
      <c r="H8" s="5">
        <v>25</v>
      </c>
      <c r="I8" s="5">
        <v>22</v>
      </c>
      <c r="J8" s="7" t="s">
        <v>14</v>
      </c>
      <c r="K8" s="5" t="s">
        <v>29</v>
      </c>
    </row>
    <row r="9" spans="1:11" x14ac:dyDescent="0.2">
      <c r="A9" s="5" t="s">
        <v>30</v>
      </c>
      <c r="B9" s="5" t="s">
        <v>28</v>
      </c>
      <c r="C9" s="5" t="s">
        <v>31</v>
      </c>
      <c r="D9" s="5" t="s">
        <v>22</v>
      </c>
      <c r="E9" s="6">
        <v>120</v>
      </c>
      <c r="F9" s="6">
        <v>120</v>
      </c>
      <c r="G9" s="6">
        <v>120</v>
      </c>
      <c r="H9" s="5">
        <v>10</v>
      </c>
      <c r="I9" s="5">
        <v>1</v>
      </c>
      <c r="J9" s="7" t="s">
        <v>32</v>
      </c>
      <c r="K9" s="5" t="s">
        <v>33</v>
      </c>
    </row>
    <row r="10" spans="1:11" x14ac:dyDescent="0.2">
      <c r="A10" s="5" t="s">
        <v>34</v>
      </c>
      <c r="B10" s="5" t="s">
        <v>35</v>
      </c>
      <c r="C10" s="5" t="s">
        <v>36</v>
      </c>
      <c r="D10" s="5" t="s">
        <v>14</v>
      </c>
      <c r="E10" s="6">
        <v>500</v>
      </c>
      <c r="F10" s="6">
        <v>500</v>
      </c>
      <c r="G10" s="6">
        <v>500</v>
      </c>
      <c r="H10" s="5">
        <v>5</v>
      </c>
      <c r="I10" s="5">
        <v>5</v>
      </c>
      <c r="J10" s="7" t="s">
        <v>14</v>
      </c>
      <c r="K10" s="5"/>
    </row>
    <row r="11" spans="1:11" x14ac:dyDescent="0.2">
      <c r="A11" s="5" t="s">
        <v>37</v>
      </c>
      <c r="B11" s="5" t="s">
        <v>38</v>
      </c>
      <c r="C11" s="5" t="s">
        <v>18</v>
      </c>
      <c r="D11" s="5" t="s">
        <v>14</v>
      </c>
      <c r="E11" s="6">
        <v>2300</v>
      </c>
      <c r="F11" s="6">
        <v>2300</v>
      </c>
      <c r="G11" s="6">
        <v>2300</v>
      </c>
      <c r="H11" s="5"/>
      <c r="I11" s="5"/>
      <c r="J11" s="7" t="s">
        <v>14</v>
      </c>
      <c r="K11" s="5" t="s">
        <v>39</v>
      </c>
    </row>
    <row r="12" spans="1:11" x14ac:dyDescent="0.2">
      <c r="A12" s="5" t="s">
        <v>40</v>
      </c>
      <c r="B12" s="5" t="s">
        <v>41</v>
      </c>
      <c r="C12" s="5" t="s">
        <v>18</v>
      </c>
      <c r="D12" s="5" t="s">
        <v>14</v>
      </c>
      <c r="E12" s="6">
        <v>720</v>
      </c>
      <c r="F12" s="6">
        <v>720</v>
      </c>
      <c r="G12" s="6">
        <v>945</v>
      </c>
      <c r="H12" s="5"/>
      <c r="I12" s="5"/>
      <c r="J12" s="7" t="s">
        <v>14</v>
      </c>
      <c r="K12" s="5" t="s">
        <v>42</v>
      </c>
    </row>
    <row r="13" spans="1:11" x14ac:dyDescent="0.2">
      <c r="A13" s="5" t="s">
        <v>43</v>
      </c>
      <c r="B13" s="5" t="s">
        <v>44</v>
      </c>
      <c r="C13" s="5" t="s">
        <v>18</v>
      </c>
      <c r="D13" s="5" t="s">
        <v>14</v>
      </c>
      <c r="E13" s="6">
        <v>100</v>
      </c>
      <c r="F13" s="6">
        <v>100</v>
      </c>
      <c r="G13" s="6">
        <v>100</v>
      </c>
      <c r="H13" s="5">
        <v>10</v>
      </c>
      <c r="I13" s="5">
        <v>6</v>
      </c>
      <c r="J13" s="7" t="s">
        <v>14</v>
      </c>
      <c r="K13" s="5"/>
    </row>
    <row r="14" spans="1:11" x14ac:dyDescent="0.2">
      <c r="A14" s="5" t="s">
        <v>45</v>
      </c>
      <c r="B14" s="5" t="s">
        <v>44</v>
      </c>
      <c r="C14" s="5" t="s">
        <v>18</v>
      </c>
      <c r="D14" s="5" t="s">
        <v>46</v>
      </c>
      <c r="E14" s="6">
        <v>239.96</v>
      </c>
      <c r="F14" s="6">
        <v>239.96</v>
      </c>
      <c r="G14" s="6">
        <v>239.96</v>
      </c>
      <c r="H14" s="5">
        <v>4</v>
      </c>
      <c r="I14" s="5">
        <v>2</v>
      </c>
      <c r="J14" s="7" t="s">
        <v>47</v>
      </c>
      <c r="K14" s="5" t="s">
        <v>48</v>
      </c>
    </row>
    <row r="15" spans="1:11" x14ac:dyDescent="0.2">
      <c r="A15" s="5" t="s">
        <v>49</v>
      </c>
      <c r="B15" s="5" t="s">
        <v>50</v>
      </c>
      <c r="C15" s="5" t="s">
        <v>51</v>
      </c>
      <c r="D15" s="5" t="s">
        <v>14</v>
      </c>
      <c r="E15" s="6">
        <v>120</v>
      </c>
      <c r="F15" s="6">
        <v>120</v>
      </c>
      <c r="G15" s="6">
        <v>120</v>
      </c>
      <c r="H15" s="5">
        <v>3</v>
      </c>
      <c r="I15" s="5">
        <v>3</v>
      </c>
      <c r="J15" s="7" t="s">
        <v>14</v>
      </c>
      <c r="K15" s="5"/>
    </row>
    <row r="16" spans="1:11" x14ac:dyDescent="0.2">
      <c r="A16" s="5" t="s">
        <v>52</v>
      </c>
      <c r="B16" s="5" t="s">
        <v>53</v>
      </c>
      <c r="C16" s="5" t="s">
        <v>51</v>
      </c>
      <c r="D16" s="5" t="s">
        <v>14</v>
      </c>
      <c r="E16" s="6">
        <v>235</v>
      </c>
      <c r="F16" s="6">
        <v>235</v>
      </c>
      <c r="G16" s="6">
        <v>235</v>
      </c>
      <c r="H16" s="5"/>
      <c r="I16" s="5"/>
      <c r="J16" s="7" t="s">
        <v>14</v>
      </c>
      <c r="K16" s="5"/>
    </row>
    <row r="17" spans="1:11" x14ac:dyDescent="0.2">
      <c r="A17" s="5" t="s">
        <v>54</v>
      </c>
      <c r="B17" s="5" t="s">
        <v>55</v>
      </c>
      <c r="C17" s="5" t="s">
        <v>56</v>
      </c>
      <c r="D17" s="5" t="s">
        <v>14</v>
      </c>
      <c r="E17" s="6">
        <v>596</v>
      </c>
      <c r="F17" s="6">
        <v>596</v>
      </c>
      <c r="G17" s="6">
        <v>596</v>
      </c>
      <c r="H17" s="5"/>
      <c r="I17" s="5"/>
      <c r="J17" s="7" t="s">
        <v>14</v>
      </c>
      <c r="K17" s="5" t="s">
        <v>57</v>
      </c>
    </row>
    <row r="18" spans="1:11" x14ac:dyDescent="0.2">
      <c r="A18" s="5" t="s">
        <v>58</v>
      </c>
      <c r="B18" s="5" t="s">
        <v>59</v>
      </c>
      <c r="C18" s="5" t="s">
        <v>31</v>
      </c>
      <c r="D18" s="5" t="s">
        <v>14</v>
      </c>
      <c r="E18" s="6">
        <v>128</v>
      </c>
      <c r="F18" s="6">
        <v>128</v>
      </c>
      <c r="G18" s="6">
        <v>128</v>
      </c>
      <c r="H18" s="5">
        <v>8</v>
      </c>
      <c r="I18" s="5">
        <v>8</v>
      </c>
      <c r="J18" s="7" t="s">
        <v>14</v>
      </c>
      <c r="K18" s="5"/>
    </row>
    <row r="19" spans="1:11" x14ac:dyDescent="0.2">
      <c r="A19" s="5" t="s">
        <v>60</v>
      </c>
      <c r="B19" s="5" t="s">
        <v>61</v>
      </c>
      <c r="C19" s="5" t="s">
        <v>18</v>
      </c>
      <c r="D19" s="5" t="s">
        <v>14</v>
      </c>
      <c r="E19" s="6">
        <v>225</v>
      </c>
      <c r="F19" s="6">
        <v>225</v>
      </c>
      <c r="G19" s="6">
        <v>225</v>
      </c>
      <c r="H19" s="5">
        <v>15</v>
      </c>
      <c r="I19" s="5">
        <v>4</v>
      </c>
      <c r="J19" s="7" t="s">
        <v>14</v>
      </c>
      <c r="K19" s="5"/>
    </row>
    <row r="20" spans="1:11" x14ac:dyDescent="0.2">
      <c r="A20" s="5" t="s">
        <v>62</v>
      </c>
      <c r="B20" s="5" t="s">
        <v>63</v>
      </c>
      <c r="C20" s="5" t="s">
        <v>13</v>
      </c>
      <c r="D20" s="5" t="s">
        <v>22</v>
      </c>
      <c r="E20" s="6">
        <v>300</v>
      </c>
      <c r="F20" s="6">
        <v>300</v>
      </c>
      <c r="G20" s="6">
        <v>300</v>
      </c>
      <c r="H20" s="5">
        <v>20</v>
      </c>
      <c r="I20" s="5">
        <v>5</v>
      </c>
      <c r="J20" s="7" t="s">
        <v>64</v>
      </c>
      <c r="K20" s="5" t="s">
        <v>65</v>
      </c>
    </row>
    <row r="21" spans="1:11" x14ac:dyDescent="0.2">
      <c r="A21" s="5" t="s">
        <v>66</v>
      </c>
      <c r="B21" s="5" t="s">
        <v>67</v>
      </c>
      <c r="C21" s="5" t="s">
        <v>68</v>
      </c>
      <c r="D21" s="5" t="s">
        <v>14</v>
      </c>
      <c r="E21" s="6">
        <v>229</v>
      </c>
      <c r="F21" s="6">
        <v>229</v>
      </c>
      <c r="G21" s="6">
        <v>229</v>
      </c>
      <c r="H21" s="5">
        <v>5</v>
      </c>
      <c r="I21" s="5">
        <v>5</v>
      </c>
      <c r="J21" s="7" t="s">
        <v>14</v>
      </c>
      <c r="K21" s="5" t="s">
        <v>69</v>
      </c>
    </row>
    <row r="22" spans="1:11" x14ac:dyDescent="0.2">
      <c r="A22" s="5" t="s">
        <v>70</v>
      </c>
      <c r="B22" s="5" t="s">
        <v>71</v>
      </c>
      <c r="C22" s="5" t="s">
        <v>18</v>
      </c>
      <c r="D22" s="5" t="s">
        <v>14</v>
      </c>
      <c r="E22" s="6">
        <v>300</v>
      </c>
      <c r="F22" s="6">
        <v>300</v>
      </c>
      <c r="G22" s="6">
        <v>300</v>
      </c>
      <c r="H22" s="5">
        <v>6</v>
      </c>
      <c r="I22" s="5">
        <v>6</v>
      </c>
      <c r="J22" s="7" t="s">
        <v>14</v>
      </c>
      <c r="K22" s="5" t="s">
        <v>72</v>
      </c>
    </row>
    <row r="23" spans="1:11" x14ac:dyDescent="0.2">
      <c r="A23" s="5" t="s">
        <v>73</v>
      </c>
      <c r="B23" s="5" t="s">
        <v>74</v>
      </c>
      <c r="C23" s="5" t="s">
        <v>18</v>
      </c>
      <c r="D23" s="5" t="s">
        <v>14</v>
      </c>
      <c r="E23" s="6">
        <v>225</v>
      </c>
      <c r="F23" s="6">
        <v>225</v>
      </c>
      <c r="G23" s="6">
        <v>225</v>
      </c>
      <c r="H23" s="5">
        <v>15</v>
      </c>
      <c r="I23" s="5">
        <v>11</v>
      </c>
      <c r="J23" s="7" t="s">
        <v>14</v>
      </c>
      <c r="K23" s="5"/>
    </row>
    <row r="24" spans="1:11" x14ac:dyDescent="0.2">
      <c r="A24" s="5" t="s">
        <v>75</v>
      </c>
      <c r="B24" s="5" t="s">
        <v>76</v>
      </c>
      <c r="C24" s="5" t="s">
        <v>13</v>
      </c>
      <c r="D24" s="5" t="s">
        <v>14</v>
      </c>
      <c r="E24" s="6">
        <v>103.5</v>
      </c>
      <c r="F24" s="6">
        <v>103.5</v>
      </c>
      <c r="G24" s="6">
        <v>103.5</v>
      </c>
      <c r="H24" s="5"/>
      <c r="I24" s="5"/>
      <c r="J24" s="7" t="s">
        <v>14</v>
      </c>
      <c r="K24" s="5"/>
    </row>
    <row r="25" spans="1:11" x14ac:dyDescent="0.2">
      <c r="A25" s="5" t="s">
        <v>77</v>
      </c>
      <c r="B25" s="5" t="s">
        <v>78</v>
      </c>
      <c r="C25" s="5" t="s">
        <v>31</v>
      </c>
      <c r="D25" s="5" t="s">
        <v>14</v>
      </c>
      <c r="E25" s="6">
        <v>120</v>
      </c>
      <c r="F25" s="6">
        <v>120</v>
      </c>
      <c r="G25" s="6">
        <v>120</v>
      </c>
      <c r="H25" s="5">
        <v>10</v>
      </c>
      <c r="I25" s="5">
        <v>0</v>
      </c>
      <c r="J25" s="7" t="s">
        <v>14</v>
      </c>
      <c r="K25" s="5" t="s">
        <v>79</v>
      </c>
    </row>
    <row r="26" spans="1:11" x14ac:dyDescent="0.2">
      <c r="A26" s="5" t="s">
        <v>80</v>
      </c>
      <c r="B26" s="5" t="s">
        <v>31</v>
      </c>
      <c r="C26" s="5" t="s">
        <v>36</v>
      </c>
      <c r="D26" s="5" t="s">
        <v>81</v>
      </c>
      <c r="E26" s="6">
        <v>0</v>
      </c>
      <c r="F26" s="6">
        <v>3200</v>
      </c>
      <c r="G26" s="6">
        <v>0</v>
      </c>
      <c r="H26" s="5">
        <v>2</v>
      </c>
      <c r="I26" s="5">
        <v>2</v>
      </c>
      <c r="J26" s="7" t="s">
        <v>82</v>
      </c>
      <c r="K26" s="5" t="s">
        <v>83</v>
      </c>
    </row>
    <row r="27" spans="1:11" x14ac:dyDescent="0.2">
      <c r="A27" s="5" t="s">
        <v>84</v>
      </c>
      <c r="B27" s="5" t="s">
        <v>85</v>
      </c>
      <c r="C27" s="5" t="s">
        <v>18</v>
      </c>
      <c r="D27" s="5" t="s">
        <v>86</v>
      </c>
      <c r="E27" s="6">
        <v>249</v>
      </c>
      <c r="F27" s="6">
        <v>249</v>
      </c>
      <c r="G27" s="6">
        <v>249</v>
      </c>
      <c r="H27" s="5"/>
      <c r="I27" s="5"/>
      <c r="J27" s="7" t="s">
        <v>87</v>
      </c>
      <c r="K27" s="5" t="s">
        <v>88</v>
      </c>
    </row>
    <row r="28" spans="1:11" x14ac:dyDescent="0.2">
      <c r="A28" s="5" t="s">
        <v>89</v>
      </c>
      <c r="B28" s="5" t="s">
        <v>90</v>
      </c>
      <c r="C28" s="5" t="s">
        <v>51</v>
      </c>
      <c r="D28" s="5" t="s">
        <v>14</v>
      </c>
      <c r="E28" s="6">
        <v>150</v>
      </c>
      <c r="F28" s="6">
        <v>150</v>
      </c>
      <c r="G28" s="6">
        <v>150</v>
      </c>
      <c r="H28" s="5">
        <v>30</v>
      </c>
      <c r="I28" s="5">
        <v>30</v>
      </c>
      <c r="J28" s="7" t="s">
        <v>14</v>
      </c>
      <c r="K28" s="5" t="s">
        <v>91</v>
      </c>
    </row>
  </sheetData>
  <pageMargins left="0.7" right="0.7" top="0.75" bottom="0.75" header="0.3" footer="0.3"/>
  <pageSetup fitToHeight="0" orientation="landscape" r:id="rId1"/>
  <headerFooter>
    <oddHeader>&amp;CWork sample — fictional scenario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733F-DC55-435F-8C65-719333CEFD50}">
  <sheetPr>
    <pageSetUpPr fitToPage="1"/>
  </sheetPr>
  <dimension ref="A1:D18"/>
  <sheetViews>
    <sheetView tabSelected="1" workbookViewId="0">
      <selection activeCell="G31" sqref="G31"/>
    </sheetView>
  </sheetViews>
  <sheetFormatPr defaultRowHeight="12.75" x14ac:dyDescent="0.2"/>
  <cols>
    <col min="1" max="1" width="26.85546875" style="2" customWidth="1"/>
    <col min="2" max="2" width="49" style="2" customWidth="1"/>
    <col min="3" max="3" width="36.28515625" style="2" bestFit="1" customWidth="1"/>
    <col min="4" max="4" width="57.85546875" style="2" bestFit="1" customWidth="1"/>
    <col min="5" max="16384" width="9.140625" style="2"/>
  </cols>
  <sheetData>
    <row r="1" spans="1:4" x14ac:dyDescent="0.2">
      <c r="A1" s="1" t="s">
        <v>341</v>
      </c>
    </row>
    <row r="3" spans="1:4" x14ac:dyDescent="0.2">
      <c r="A3" s="8" t="s">
        <v>207</v>
      </c>
    </row>
    <row r="4" spans="1:4" x14ac:dyDescent="0.2">
      <c r="A4" s="2" t="str">
        <f>"Profile: 25 tools, 11 columns, 3 months (Jul–Sep 2026). Q3 total spend "&amp;TEXT(Analysis!H31,"$#,##0")&amp;"."</f>
        <v>Profile: 25 tools, 11 columns, 3 months (Jul–Sep 2026). Q3 total spend $30,089.</v>
      </c>
    </row>
    <row r="6" spans="1:4" x14ac:dyDescent="0.2">
      <c r="A6" s="9" t="s">
        <v>208</v>
      </c>
      <c r="B6" s="9" t="s">
        <v>209</v>
      </c>
      <c r="C6" s="9" t="s">
        <v>210</v>
      </c>
      <c r="D6" s="9" t="s">
        <v>211</v>
      </c>
    </row>
    <row r="7" spans="1:4" ht="25.5" x14ac:dyDescent="0.2">
      <c r="A7" s="10">
        <v>1</v>
      </c>
      <c r="B7" s="10" t="s">
        <v>212</v>
      </c>
      <c r="C7" s="10" t="s">
        <v>213</v>
      </c>
      <c r="D7" s="10" t="s">
        <v>214</v>
      </c>
    </row>
    <row r="8" spans="1:4" x14ac:dyDescent="0.2">
      <c r="A8" s="10">
        <v>2</v>
      </c>
      <c r="B8" s="10" t="s">
        <v>215</v>
      </c>
      <c r="C8" s="10" t="s">
        <v>216</v>
      </c>
      <c r="D8" s="10" t="s">
        <v>217</v>
      </c>
    </row>
    <row r="9" spans="1:4" ht="25.5" x14ac:dyDescent="0.2">
      <c r="A9" s="10">
        <v>3</v>
      </c>
      <c r="B9" s="10" t="s">
        <v>218</v>
      </c>
      <c r="C9" s="10" t="s">
        <v>219</v>
      </c>
      <c r="D9" s="10" t="s">
        <v>220</v>
      </c>
    </row>
    <row r="10" spans="1:4" ht="25.5" x14ac:dyDescent="0.2">
      <c r="A10" s="10">
        <v>4</v>
      </c>
      <c r="B10" s="10" t="s">
        <v>221</v>
      </c>
      <c r="C10" s="10" t="s">
        <v>222</v>
      </c>
      <c r="D10" s="10" t="s">
        <v>223</v>
      </c>
    </row>
    <row r="11" spans="1:4" ht="25.5" x14ac:dyDescent="0.2">
      <c r="A11" s="10">
        <v>5</v>
      </c>
      <c r="B11" s="10" t="s">
        <v>224</v>
      </c>
      <c r="C11" s="10" t="s">
        <v>225</v>
      </c>
      <c r="D11" s="10" t="s">
        <v>226</v>
      </c>
    </row>
    <row r="12" spans="1:4" ht="25.5" x14ac:dyDescent="0.2">
      <c r="A12" s="10">
        <v>6</v>
      </c>
      <c r="B12" s="10" t="s">
        <v>227</v>
      </c>
      <c r="C12" s="10" t="s">
        <v>80</v>
      </c>
      <c r="D12" s="10" t="s">
        <v>358</v>
      </c>
    </row>
    <row r="13" spans="1:4" ht="25.5" x14ac:dyDescent="0.2">
      <c r="A13" s="10">
        <v>7</v>
      </c>
      <c r="B13" s="10" t="s">
        <v>228</v>
      </c>
      <c r="C13" s="10" t="s">
        <v>84</v>
      </c>
      <c r="D13" s="10" t="s">
        <v>359</v>
      </c>
    </row>
    <row r="14" spans="1:4" ht="25.5" x14ac:dyDescent="0.2">
      <c r="A14" s="10">
        <v>8</v>
      </c>
      <c r="B14" s="10" t="s">
        <v>229</v>
      </c>
      <c r="C14" s="10" t="s">
        <v>77</v>
      </c>
      <c r="D14" s="10" t="s">
        <v>230</v>
      </c>
    </row>
    <row r="15" spans="1:4" ht="25.5" x14ac:dyDescent="0.2">
      <c r="A15" s="10">
        <v>9</v>
      </c>
      <c r="B15" s="10" t="s">
        <v>231</v>
      </c>
      <c r="C15" s="10" t="s">
        <v>40</v>
      </c>
      <c r="D15" s="10" t="s">
        <v>232</v>
      </c>
    </row>
    <row r="16" spans="1:4" ht="25.5" x14ac:dyDescent="0.2">
      <c r="A16" s="10">
        <v>10</v>
      </c>
      <c r="B16" s="10" t="s">
        <v>233</v>
      </c>
      <c r="C16" s="10" t="s">
        <v>234</v>
      </c>
      <c r="D16" s="10" t="s">
        <v>360</v>
      </c>
    </row>
    <row r="17" spans="1:4" ht="25.5" x14ac:dyDescent="0.2">
      <c r="A17" s="10">
        <v>11</v>
      </c>
      <c r="B17" s="10" t="s">
        <v>235</v>
      </c>
      <c r="C17" s="10" t="s">
        <v>54</v>
      </c>
      <c r="D17" s="10" t="s">
        <v>236</v>
      </c>
    </row>
    <row r="18" spans="1:4" x14ac:dyDescent="0.2">
      <c r="A18" s="10">
        <v>12</v>
      </c>
      <c r="B18" s="10" t="s">
        <v>237</v>
      </c>
      <c r="C18" s="10" t="s">
        <v>45</v>
      </c>
      <c r="D18" s="10" t="s">
        <v>238</v>
      </c>
    </row>
  </sheetData>
  <pageMargins left="0.7" right="0.7" top="0.75" bottom="0.75" header="0.3" footer="0.3"/>
  <pageSetup paperSize="0" fitToHeight="0" orientation="landscape" horizontalDpi="0" verticalDpi="0" copies="0"/>
  <headerFooter>
    <oddHeader>&amp;CWork sample — fictional scenario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32EB-9A10-47AC-B350-70E296A0DCD0}">
  <dimension ref="A1:C28"/>
  <sheetViews>
    <sheetView workbookViewId="0">
      <selection activeCell="C30" sqref="C30"/>
    </sheetView>
  </sheetViews>
  <sheetFormatPr defaultColWidth="39.140625" defaultRowHeight="12.75" x14ac:dyDescent="0.2"/>
  <cols>
    <col min="1" max="1" width="40.85546875" style="2" bestFit="1" customWidth="1"/>
    <col min="2" max="2" width="10.85546875" style="2" bestFit="1" customWidth="1"/>
    <col min="3" max="3" width="64.42578125" style="2" bestFit="1" customWidth="1"/>
    <col min="4" max="16384" width="39.140625" style="2"/>
  </cols>
  <sheetData>
    <row r="1" spans="1:3" x14ac:dyDescent="0.2">
      <c r="A1" s="1" t="s">
        <v>341</v>
      </c>
    </row>
    <row r="3" spans="1:3" x14ac:dyDescent="0.2">
      <c r="A3" s="8" t="s">
        <v>92</v>
      </c>
    </row>
    <row r="5" spans="1:3" x14ac:dyDescent="0.2">
      <c r="A5" s="15" t="s">
        <v>93</v>
      </c>
      <c r="B5" s="15" t="s">
        <v>94</v>
      </c>
      <c r="C5" s="15" t="s">
        <v>95</v>
      </c>
    </row>
    <row r="6" spans="1:3" x14ac:dyDescent="0.2">
      <c r="A6" s="5" t="s">
        <v>96</v>
      </c>
      <c r="B6" s="16">
        <f>DATE(2026,10,16)</f>
        <v>46311</v>
      </c>
      <c r="C6" s="5" t="s">
        <v>97</v>
      </c>
    </row>
    <row r="7" spans="1:3" x14ac:dyDescent="0.2">
      <c r="A7" s="5" t="s">
        <v>98</v>
      </c>
      <c r="B7" s="16">
        <f>DATE(2026,10,17)</f>
        <v>46312</v>
      </c>
      <c r="C7" s="5" t="s">
        <v>99</v>
      </c>
    </row>
    <row r="8" spans="1:3" x14ac:dyDescent="0.2">
      <c r="A8" s="5" t="s">
        <v>100</v>
      </c>
      <c r="B8" s="16">
        <f>DATE(2027,1,14)</f>
        <v>46401</v>
      </c>
      <c r="C8" s="5" t="s">
        <v>99</v>
      </c>
    </row>
    <row r="9" spans="1:3" x14ac:dyDescent="0.2">
      <c r="A9" s="5" t="s">
        <v>101</v>
      </c>
      <c r="B9" s="16">
        <f>DATE(2027,1,15)</f>
        <v>46402</v>
      </c>
      <c r="C9" s="5" t="s">
        <v>102</v>
      </c>
    </row>
    <row r="10" spans="1:3" x14ac:dyDescent="0.2">
      <c r="A10" s="5" t="s">
        <v>103</v>
      </c>
      <c r="B10" s="17">
        <v>12000</v>
      </c>
      <c r="C10" s="5" t="s">
        <v>104</v>
      </c>
    </row>
    <row r="11" spans="1:3" x14ac:dyDescent="0.2">
      <c r="A11" s="5" t="s">
        <v>105</v>
      </c>
      <c r="B11" s="18">
        <v>10</v>
      </c>
      <c r="C11" s="5" t="s">
        <v>106</v>
      </c>
    </row>
    <row r="12" spans="1:3" x14ac:dyDescent="0.2">
      <c r="A12" s="5" t="s">
        <v>107</v>
      </c>
      <c r="B12" s="18">
        <v>12</v>
      </c>
      <c r="C12" s="5" t="s">
        <v>108</v>
      </c>
    </row>
    <row r="13" spans="1:3" x14ac:dyDescent="0.2">
      <c r="A13" s="5" t="s">
        <v>109</v>
      </c>
      <c r="B13" s="17">
        <v>1600</v>
      </c>
      <c r="C13" s="5" t="s">
        <v>361</v>
      </c>
    </row>
    <row r="14" spans="1:3" x14ac:dyDescent="0.2">
      <c r="A14" s="5" t="s">
        <v>110</v>
      </c>
      <c r="B14" s="17">
        <v>2388</v>
      </c>
      <c r="C14" s="5" t="s">
        <v>362</v>
      </c>
    </row>
    <row r="15" spans="1:3" x14ac:dyDescent="0.2">
      <c r="A15" s="5" t="s">
        <v>111</v>
      </c>
      <c r="B15" s="16">
        <f>DATE(2026,6,30)</f>
        <v>46203</v>
      </c>
      <c r="C15" s="5" t="s">
        <v>363</v>
      </c>
    </row>
    <row r="16" spans="1:3" x14ac:dyDescent="0.2">
      <c r="A16" s="5" t="s">
        <v>112</v>
      </c>
      <c r="B16" s="18">
        <v>85</v>
      </c>
      <c r="C16" s="5" t="s">
        <v>113</v>
      </c>
    </row>
    <row r="17" spans="1:3" x14ac:dyDescent="0.2">
      <c r="A17" s="5" t="s">
        <v>114</v>
      </c>
      <c r="B17" s="18">
        <v>20</v>
      </c>
      <c r="C17" s="5" t="s">
        <v>115</v>
      </c>
    </row>
    <row r="19" spans="1:3" x14ac:dyDescent="0.2">
      <c r="A19" s="8" t="s">
        <v>116</v>
      </c>
    </row>
    <row r="20" spans="1:3" x14ac:dyDescent="0.2">
      <c r="A20" s="19" t="s">
        <v>37</v>
      </c>
    </row>
    <row r="21" spans="1:3" x14ac:dyDescent="0.2">
      <c r="A21" s="19" t="s">
        <v>40</v>
      </c>
    </row>
    <row r="22" spans="1:3" x14ac:dyDescent="0.2">
      <c r="A22" s="19" t="s">
        <v>70</v>
      </c>
    </row>
    <row r="23" spans="1:3" x14ac:dyDescent="0.2">
      <c r="A23" s="19" t="s">
        <v>66</v>
      </c>
    </row>
    <row r="24" spans="1:3" x14ac:dyDescent="0.2">
      <c r="A24" s="19" t="s">
        <v>34</v>
      </c>
    </row>
    <row r="26" spans="1:3" x14ac:dyDescent="0.2">
      <c r="A26" s="8" t="s">
        <v>117</v>
      </c>
    </row>
    <row r="27" spans="1:3" x14ac:dyDescent="0.2">
      <c r="A27" s="2" t="s">
        <v>11</v>
      </c>
      <c r="C27" s="2" t="s">
        <v>118</v>
      </c>
    </row>
    <row r="28" spans="1:3" x14ac:dyDescent="0.2">
      <c r="A28" s="2" t="s">
        <v>27</v>
      </c>
      <c r="C28" s="2" t="s">
        <v>28</v>
      </c>
    </row>
  </sheetData>
  <pageMargins left="0.7" right="0.7" top="0.75" bottom="0.75" header="0.3" footer="0.3"/>
  <headerFooter>
    <oddHeader>&amp;CWork sample — fictional scenario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D8B21-6D15-4510-808A-9DB6A89A209F}">
  <sheetPr>
    <pageSetUpPr fitToPage="1"/>
  </sheetPr>
  <dimension ref="A1:AB31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C7" sqref="C7"/>
    </sheetView>
  </sheetViews>
  <sheetFormatPr defaultRowHeight="12.75" x14ac:dyDescent="0.2"/>
  <cols>
    <col min="1" max="1" width="32.42578125" style="2" customWidth="1"/>
    <col min="2" max="4" width="18.140625" style="2" customWidth="1"/>
    <col min="5" max="16" width="13" style="2" customWidth="1"/>
    <col min="17" max="17" width="21" style="2" customWidth="1"/>
    <col min="18" max="18" width="17.140625" style="2" customWidth="1"/>
    <col min="19" max="20" width="49.5703125" style="2" customWidth="1"/>
    <col min="21" max="21" width="19" style="2" customWidth="1"/>
    <col min="22" max="25" width="13.7109375" style="2" customWidth="1"/>
    <col min="26" max="26" width="15.28515625" style="2" customWidth="1"/>
    <col min="27" max="27" width="28.5703125" style="2" customWidth="1"/>
    <col min="28" max="28" width="15.28515625" style="2" customWidth="1"/>
    <col min="29" max="16384" width="9.140625" style="2"/>
  </cols>
  <sheetData>
    <row r="1" spans="1:28" x14ac:dyDescent="0.2">
      <c r="A1" s="1" t="s">
        <v>341</v>
      </c>
    </row>
    <row r="3" spans="1:28" x14ac:dyDescent="0.2">
      <c r="A3" s="8" t="s">
        <v>342</v>
      </c>
    </row>
    <row r="5" spans="1:28" s="21" customFormat="1" ht="25.5" x14ac:dyDescent="0.2">
      <c r="A5" s="20" t="s">
        <v>0</v>
      </c>
      <c r="B5" s="20" t="s">
        <v>1</v>
      </c>
      <c r="C5" s="20" t="s">
        <v>2</v>
      </c>
      <c r="D5" s="20" t="s">
        <v>3</v>
      </c>
      <c r="E5" s="20" t="s">
        <v>119</v>
      </c>
      <c r="F5" s="20" t="s">
        <v>120</v>
      </c>
      <c r="G5" s="20" t="s">
        <v>121</v>
      </c>
      <c r="H5" s="20" t="s">
        <v>122</v>
      </c>
      <c r="I5" s="20" t="s">
        <v>123</v>
      </c>
      <c r="J5" s="20" t="s">
        <v>124</v>
      </c>
      <c r="K5" s="20" t="s">
        <v>125</v>
      </c>
      <c r="L5" s="20" t="s">
        <v>126</v>
      </c>
      <c r="M5" s="20" t="s">
        <v>127</v>
      </c>
      <c r="N5" s="20" t="s">
        <v>128</v>
      </c>
      <c r="O5" s="20" t="s">
        <v>129</v>
      </c>
      <c r="P5" s="20" t="s">
        <v>130</v>
      </c>
      <c r="Q5" s="20" t="s">
        <v>131</v>
      </c>
      <c r="R5" s="20" t="s">
        <v>132</v>
      </c>
      <c r="S5" s="20" t="s">
        <v>133</v>
      </c>
      <c r="T5" s="20" t="s">
        <v>134</v>
      </c>
      <c r="U5" s="20" t="s">
        <v>135</v>
      </c>
      <c r="V5" s="20" t="s">
        <v>136</v>
      </c>
      <c r="W5" s="20" t="s">
        <v>137</v>
      </c>
      <c r="X5" s="20" t="s">
        <v>138</v>
      </c>
      <c r="Y5" s="20" t="s">
        <v>139</v>
      </c>
      <c r="Z5" s="20" t="s">
        <v>140</v>
      </c>
      <c r="AA5" s="20" t="s">
        <v>141</v>
      </c>
      <c r="AB5" s="20" t="s">
        <v>142</v>
      </c>
    </row>
    <row r="6" spans="1:28" ht="38.25" x14ac:dyDescent="0.2">
      <c r="A6" s="22" t="str">
        <f>Raw!A4</f>
        <v>Microsoft 365 Business Standard</v>
      </c>
      <c r="B6" s="22" t="str">
        <f>Raw!B4</f>
        <v>Productivity</v>
      </c>
      <c r="C6" s="22" t="str">
        <f>Raw!C4</f>
        <v>Marcus</v>
      </c>
      <c r="D6" s="22" t="str">
        <f>Raw!D4</f>
        <v>Monthly</v>
      </c>
      <c r="E6" s="23">
        <f>Raw!E4</f>
        <v>1062.5</v>
      </c>
      <c r="F6" s="23">
        <f>Raw!F4</f>
        <v>1062.5</v>
      </c>
      <c r="G6" s="23">
        <f>Raw!G4</f>
        <v>1062.5</v>
      </c>
      <c r="H6" s="23">
        <f t="shared" ref="H6:H30" si="0">SUM(E6:G6)</f>
        <v>3187.5</v>
      </c>
      <c r="I6" s="23">
        <f t="shared" ref="I6:I30" si="1">H6/3</f>
        <v>1062.5</v>
      </c>
      <c r="J6" s="24">
        <f>IF(Raw!H4="","",Raw!H4)</f>
        <v>85</v>
      </c>
      <c r="K6" s="24">
        <f>IF(Raw!I4="","",Raw!I4)</f>
        <v>79</v>
      </c>
      <c r="L6" s="23">
        <f t="shared" ref="L6:L27" si="2">IF(J6="","",G6/J6)</f>
        <v>12.5</v>
      </c>
      <c r="M6" s="23">
        <f t="shared" ref="M6:M27" si="3">IF(OR(K6="",K6=0),"n/a",I6/K6)</f>
        <v>13.449367088607595</v>
      </c>
      <c r="N6" s="25">
        <f t="shared" ref="N6:N30" si="4">IF(J6="","",J6-K6)</f>
        <v>6</v>
      </c>
      <c r="O6" s="26">
        <f>IF(Raw!J4="Monthly","Monthly",DATE(LEFT(Raw!J4,4),MID(Raw!J4,6,2),RIGHT(Raw!J4,2)))</f>
        <v>46388</v>
      </c>
      <c r="P6" s="22" t="str">
        <f>IF(COUNTIF(Inputs!$A$20:$A$24,A6)&gt;0,"Yes","No")</f>
        <v>No</v>
      </c>
      <c r="Q6" s="22" t="s">
        <v>143</v>
      </c>
      <c r="R6" s="22" t="s">
        <v>144</v>
      </c>
      <c r="S6" s="22" t="s">
        <v>145</v>
      </c>
      <c r="T6" s="22" t="s">
        <v>146</v>
      </c>
      <c r="U6" s="22" t="s">
        <v>13</v>
      </c>
      <c r="V6" s="26">
        <f>O6-Inputs!$B$11</f>
        <v>46378</v>
      </c>
      <c r="W6" s="22" t="s">
        <v>147</v>
      </c>
      <c r="X6" s="25">
        <v>0</v>
      </c>
      <c r="Y6" s="23">
        <f t="shared" ref="Y6:Y30" si="5">IF(W6="Seat cut",X6*L6,IF(OR(W6="Cancel",W6="Stop charge"),G6,0))</f>
        <v>0</v>
      </c>
      <c r="Z6" s="23">
        <f>Y6*Inputs!$B$12</f>
        <v>0</v>
      </c>
      <c r="AA6" s="22" t="str">
        <f t="shared" ref="AA6:AA30" si="6">IF(W6="Seat cut",X6&amp;" seats × "&amp;TEXT(L6,"$#,##0.00")&amp;" × 12",IF(W6="None","-",TEXT(G6,"$#,##0.00")&amp;"/mo (Sep) × 12"))</f>
        <v>-</v>
      </c>
      <c r="AB6" s="23">
        <v>0</v>
      </c>
    </row>
    <row r="7" spans="1:28" ht="25.5" x14ac:dyDescent="0.2">
      <c r="A7" s="22" t="str">
        <f>Raw!A5</f>
        <v>Google Workspace</v>
      </c>
      <c r="B7" s="22" t="str">
        <f>Raw!B5</f>
        <v>Productivity</v>
      </c>
      <c r="C7" s="22" t="str">
        <f>Raw!C5</f>
        <v>Marketing</v>
      </c>
      <c r="D7" s="22" t="str">
        <f>Raw!D5</f>
        <v>Monthly</v>
      </c>
      <c r="E7" s="23">
        <f>Raw!E5</f>
        <v>168</v>
      </c>
      <c r="F7" s="23">
        <f>Raw!F5</f>
        <v>168</v>
      </c>
      <c r="G7" s="23">
        <f>Raw!G5</f>
        <v>168</v>
      </c>
      <c r="H7" s="23">
        <f t="shared" si="0"/>
        <v>504</v>
      </c>
      <c r="I7" s="23">
        <f t="shared" si="1"/>
        <v>168</v>
      </c>
      <c r="J7" s="24">
        <f>IF(Raw!H5="","",Raw!H5)</f>
        <v>12</v>
      </c>
      <c r="K7" s="24">
        <f>IF(Raw!I5="","",Raw!I5)</f>
        <v>3</v>
      </c>
      <c r="L7" s="23">
        <f t="shared" si="2"/>
        <v>14</v>
      </c>
      <c r="M7" s="23">
        <f t="shared" si="3"/>
        <v>56</v>
      </c>
      <c r="N7" s="25">
        <f t="shared" si="4"/>
        <v>9</v>
      </c>
      <c r="O7" s="26" t="str">
        <f>IF(Raw!J5="Monthly","Monthly",DATE(LEFT(Raw!J5,4),MID(Raw!J5,6,2),RIGHT(Raw!J5,2)))</f>
        <v>Monthly</v>
      </c>
      <c r="P7" s="22" t="str">
        <f>IF(COUNTIF(Inputs!$A$20:$A$24,A7)&gt;0,"Yes","No")</f>
        <v>No</v>
      </c>
      <c r="Q7" s="22" t="s">
        <v>148</v>
      </c>
      <c r="R7" s="22" t="s">
        <v>149</v>
      </c>
      <c r="S7" s="22" t="s">
        <v>150</v>
      </c>
      <c r="T7" s="22" t="s">
        <v>151</v>
      </c>
      <c r="U7" s="22" t="s">
        <v>152</v>
      </c>
      <c r="V7" s="26">
        <f>DATE(2026,11,13)</f>
        <v>46339</v>
      </c>
      <c r="W7" s="22" t="s">
        <v>153</v>
      </c>
      <c r="X7" s="25">
        <v>0</v>
      </c>
      <c r="Y7" s="23">
        <f t="shared" si="5"/>
        <v>168</v>
      </c>
      <c r="Z7" s="23">
        <f>Y7*Inputs!$B$12</f>
        <v>2016</v>
      </c>
      <c r="AA7" s="22" t="str">
        <f t="shared" si="6"/>
        <v>$168.00/mo (Sep) × 12</v>
      </c>
      <c r="AB7" s="23">
        <v>0</v>
      </c>
    </row>
    <row r="8" spans="1:28" ht="25.5" x14ac:dyDescent="0.2">
      <c r="A8" s="22" t="str">
        <f>Raw!A6</f>
        <v>Zoom Pro</v>
      </c>
      <c r="B8" s="22" t="str">
        <f>Raw!B6</f>
        <v>Meetings</v>
      </c>
      <c r="C8" s="22" t="str">
        <f>Raw!C6</f>
        <v>Marketing</v>
      </c>
      <c r="D8" s="22" t="str">
        <f>Raw!D6</f>
        <v>Annual auto-renew billed monthly</v>
      </c>
      <c r="E8" s="23">
        <f>Raw!E6</f>
        <v>159.9</v>
      </c>
      <c r="F8" s="23">
        <f>Raw!F6</f>
        <v>159.9</v>
      </c>
      <c r="G8" s="23">
        <f>Raw!G6</f>
        <v>159.9</v>
      </c>
      <c r="H8" s="23">
        <f t="shared" si="0"/>
        <v>479.70000000000005</v>
      </c>
      <c r="I8" s="23">
        <f t="shared" si="1"/>
        <v>159.9</v>
      </c>
      <c r="J8" s="24">
        <f>IF(Raw!H6="","",Raw!H6)</f>
        <v>10</v>
      </c>
      <c r="K8" s="24">
        <f>IF(Raw!I6="","",Raw!I6)</f>
        <v>2</v>
      </c>
      <c r="L8" s="23">
        <f t="shared" si="2"/>
        <v>15.99</v>
      </c>
      <c r="M8" s="23">
        <f t="shared" si="3"/>
        <v>79.95</v>
      </c>
      <c r="N8" s="25">
        <f t="shared" si="4"/>
        <v>8</v>
      </c>
      <c r="O8" s="26">
        <f>IF(Raw!J6="Monthly","Monthly",DATE(LEFT(Raw!J6,4),MID(Raw!J6,6,2),RIGHT(Raw!J6,2)))</f>
        <v>46327</v>
      </c>
      <c r="P8" s="22" t="str">
        <f>IF(COUNTIF(Inputs!$A$20:$A$24,A8)&gt;0,"Yes","No")</f>
        <v>No</v>
      </c>
      <c r="Q8" s="22" t="s">
        <v>154</v>
      </c>
      <c r="R8" s="22" t="s">
        <v>344</v>
      </c>
      <c r="S8" s="22" t="s">
        <v>156</v>
      </c>
      <c r="T8" s="22" t="s">
        <v>157</v>
      </c>
      <c r="U8" s="22" t="s">
        <v>158</v>
      </c>
      <c r="V8" s="26">
        <f>O8-Inputs!$B$11</f>
        <v>46317</v>
      </c>
      <c r="W8" s="22" t="s">
        <v>153</v>
      </c>
      <c r="X8" s="25">
        <v>0</v>
      </c>
      <c r="Y8" s="23">
        <f t="shared" si="5"/>
        <v>159.9</v>
      </c>
      <c r="Z8" s="23">
        <f>Y8*Inputs!$B$12</f>
        <v>1918.8000000000002</v>
      </c>
      <c r="AA8" s="22" t="str">
        <f t="shared" si="6"/>
        <v>$159.90/mo (Sep) × 12</v>
      </c>
      <c r="AB8" s="23">
        <v>0</v>
      </c>
    </row>
    <row r="9" spans="1:28" ht="25.5" x14ac:dyDescent="0.2">
      <c r="A9" s="22" t="str">
        <f>Raw!A7</f>
        <v>Slack Pro</v>
      </c>
      <c r="B9" s="22" t="str">
        <f>Raw!B7</f>
        <v>Chat</v>
      </c>
      <c r="C9" s="22" t="str">
        <f>Raw!C7</f>
        <v>Marcus</v>
      </c>
      <c r="D9" s="22" t="str">
        <f>Raw!D7</f>
        <v>Monthly</v>
      </c>
      <c r="E9" s="23">
        <f>Raw!E7</f>
        <v>262.5</v>
      </c>
      <c r="F9" s="23">
        <f>Raw!F7</f>
        <v>262.5</v>
      </c>
      <c r="G9" s="23">
        <f>Raw!G7</f>
        <v>262.5</v>
      </c>
      <c r="H9" s="23">
        <f t="shared" si="0"/>
        <v>787.5</v>
      </c>
      <c r="I9" s="23">
        <f t="shared" si="1"/>
        <v>262.5</v>
      </c>
      <c r="J9" s="24">
        <f>IF(Raw!H7="","",Raw!H7)</f>
        <v>30</v>
      </c>
      <c r="K9" s="24">
        <f>IF(Raw!I7="","",Raw!I7)</f>
        <v>27</v>
      </c>
      <c r="L9" s="23">
        <f t="shared" si="2"/>
        <v>8.75</v>
      </c>
      <c r="M9" s="23">
        <f t="shared" si="3"/>
        <v>9.7222222222222214</v>
      </c>
      <c r="N9" s="25">
        <f t="shared" si="4"/>
        <v>3</v>
      </c>
      <c r="O9" s="26" t="str">
        <f>IF(Raw!J7="Monthly","Monthly",DATE(LEFT(Raw!J7,4),MID(Raw!J7,6,2),RIGHT(Raw!J7,2)))</f>
        <v>Monthly</v>
      </c>
      <c r="P9" s="22" t="str">
        <f>IF(COUNTIF(Inputs!$A$20:$A$24,A9)&gt;0,"Yes","No")</f>
        <v>No</v>
      </c>
      <c r="Q9" s="22" t="s">
        <v>159</v>
      </c>
      <c r="R9" s="22" t="s">
        <v>128</v>
      </c>
      <c r="S9" s="22" t="s">
        <v>160</v>
      </c>
      <c r="T9" s="22" t="s">
        <v>161</v>
      </c>
      <c r="U9" s="22" t="s">
        <v>13</v>
      </c>
      <c r="V9" s="26">
        <f>DATE(2026,10,23)</f>
        <v>46318</v>
      </c>
      <c r="W9" s="22" t="s">
        <v>162</v>
      </c>
      <c r="X9" s="25">
        <v>3</v>
      </c>
      <c r="Y9" s="23">
        <f t="shared" si="5"/>
        <v>26.25</v>
      </c>
      <c r="Z9" s="23">
        <f>Y9*Inputs!$B$12</f>
        <v>315</v>
      </c>
      <c r="AA9" s="22" t="str">
        <f t="shared" si="6"/>
        <v>3 seats × $8.75 × 12</v>
      </c>
      <c r="AB9" s="23">
        <v>0</v>
      </c>
    </row>
    <row r="10" spans="1:28" ht="25.5" x14ac:dyDescent="0.2">
      <c r="A10" s="22" t="str">
        <f>Raw!A8</f>
        <v>Asana Premium</v>
      </c>
      <c r="B10" s="22" t="str">
        <f>Raw!B8</f>
        <v>Projects</v>
      </c>
      <c r="C10" s="22" t="str">
        <f>Raw!C8</f>
        <v>Marcus</v>
      </c>
      <c r="D10" s="22" t="str">
        <f>Raw!D8</f>
        <v>Monthly</v>
      </c>
      <c r="E10" s="23">
        <f>Raw!E8</f>
        <v>274.75</v>
      </c>
      <c r="F10" s="23">
        <f>Raw!F8</f>
        <v>274.75</v>
      </c>
      <c r="G10" s="23">
        <f>Raw!G8</f>
        <v>274.75</v>
      </c>
      <c r="H10" s="23">
        <f t="shared" si="0"/>
        <v>824.25</v>
      </c>
      <c r="I10" s="23">
        <f t="shared" si="1"/>
        <v>274.75</v>
      </c>
      <c r="J10" s="24">
        <f>IF(Raw!H8="","",Raw!H8)</f>
        <v>25</v>
      </c>
      <c r="K10" s="24">
        <f>IF(Raw!I8="","",Raw!I8)</f>
        <v>22</v>
      </c>
      <c r="L10" s="23">
        <f t="shared" si="2"/>
        <v>10.99</v>
      </c>
      <c r="M10" s="23">
        <f t="shared" si="3"/>
        <v>12.488636363636363</v>
      </c>
      <c r="N10" s="25">
        <f t="shared" si="4"/>
        <v>3</v>
      </c>
      <c r="O10" s="26" t="str">
        <f>IF(Raw!J8="Monthly","Monthly",DATE(LEFT(Raw!J8,4),MID(Raw!J8,6,2),RIGHT(Raw!J8,2)))</f>
        <v>Monthly</v>
      </c>
      <c r="P10" s="22" t="str">
        <f>IF(COUNTIF(Inputs!$A$20:$A$24,A10)&gt;0,"Yes","No")</f>
        <v>No</v>
      </c>
      <c r="Q10" s="22" t="s">
        <v>143</v>
      </c>
      <c r="R10" s="22" t="s">
        <v>128</v>
      </c>
      <c r="S10" s="22" t="s">
        <v>163</v>
      </c>
      <c r="T10" s="22" t="s">
        <v>164</v>
      </c>
      <c r="U10" s="22" t="s">
        <v>13</v>
      </c>
      <c r="V10" s="26">
        <f>DATE(2026,10,23)</f>
        <v>46318</v>
      </c>
      <c r="W10" s="22" t="s">
        <v>162</v>
      </c>
      <c r="X10" s="25">
        <v>2</v>
      </c>
      <c r="Y10" s="23">
        <f t="shared" si="5"/>
        <v>21.98</v>
      </c>
      <c r="Z10" s="23">
        <f>Y10*Inputs!$B$12</f>
        <v>263.76</v>
      </c>
      <c r="AA10" s="22" t="str">
        <f t="shared" si="6"/>
        <v>2 seats × $10.99 × 12</v>
      </c>
      <c r="AB10" s="23">
        <v>0</v>
      </c>
    </row>
    <row r="11" spans="1:28" ht="25.5" x14ac:dyDescent="0.2">
      <c r="A11" s="22" t="str">
        <f>Raw!A9</f>
        <v>Monday.com Standard</v>
      </c>
      <c r="B11" s="22" t="str">
        <f>Raw!B9</f>
        <v>Projects</v>
      </c>
      <c r="C11" s="22" t="str">
        <f>Raw!C9</f>
        <v>Sales</v>
      </c>
      <c r="D11" s="22" t="str">
        <f>Raw!D9</f>
        <v>Annual auto-renew billed monthly</v>
      </c>
      <c r="E11" s="23">
        <f>Raw!E9</f>
        <v>120</v>
      </c>
      <c r="F11" s="23">
        <f>Raw!F9</f>
        <v>120</v>
      </c>
      <c r="G11" s="23">
        <f>Raw!G9</f>
        <v>120</v>
      </c>
      <c r="H11" s="23">
        <f t="shared" si="0"/>
        <v>360</v>
      </c>
      <c r="I11" s="23">
        <f t="shared" si="1"/>
        <v>120</v>
      </c>
      <c r="J11" s="24">
        <f>IF(Raw!H9="","",Raw!H9)</f>
        <v>10</v>
      </c>
      <c r="K11" s="24">
        <f>IF(Raw!I9="","",Raw!I9)</f>
        <v>1</v>
      </c>
      <c r="L11" s="23">
        <f t="shared" si="2"/>
        <v>12</v>
      </c>
      <c r="M11" s="23">
        <f t="shared" si="3"/>
        <v>120</v>
      </c>
      <c r="N11" s="25">
        <f t="shared" si="4"/>
        <v>9</v>
      </c>
      <c r="O11" s="26">
        <f>IF(Raw!J9="Monthly","Monthly",DATE(LEFT(Raw!J9,4),MID(Raw!J9,6,2),RIGHT(Raw!J9,2)))</f>
        <v>46341</v>
      </c>
      <c r="P11" s="22" t="str">
        <f>IF(COUNTIF(Inputs!$A$20:$A$24,A11)&gt;0,"Yes","No")</f>
        <v>No</v>
      </c>
      <c r="Q11" s="22" t="s">
        <v>165</v>
      </c>
      <c r="R11" s="22" t="s">
        <v>344</v>
      </c>
      <c r="S11" s="22" t="s">
        <v>166</v>
      </c>
      <c r="T11" s="22" t="s">
        <v>167</v>
      </c>
      <c r="U11" s="22" t="s">
        <v>168</v>
      </c>
      <c r="V11" s="26">
        <f>O11-Inputs!$B$11</f>
        <v>46331</v>
      </c>
      <c r="W11" s="22" t="s">
        <v>153</v>
      </c>
      <c r="X11" s="25">
        <v>0</v>
      </c>
      <c r="Y11" s="23">
        <f t="shared" si="5"/>
        <v>120</v>
      </c>
      <c r="Z11" s="23">
        <f>Y11*Inputs!$B$12</f>
        <v>1440</v>
      </c>
      <c r="AA11" s="22" t="str">
        <f t="shared" si="6"/>
        <v>$120.00/mo (Sep) × 12</v>
      </c>
      <c r="AB11" s="23">
        <v>0</v>
      </c>
    </row>
    <row r="12" spans="1:28" x14ac:dyDescent="0.2">
      <c r="A12" s="22" t="str">
        <f>Raw!A10</f>
        <v>HubSpot Sales Pro</v>
      </c>
      <c r="B12" s="22" t="str">
        <f>Raw!B10</f>
        <v>CRM</v>
      </c>
      <c r="C12" s="22" t="str">
        <f>Raw!C10</f>
        <v>Priya</v>
      </c>
      <c r="D12" s="22" t="str">
        <f>Raw!D10</f>
        <v>Monthly</v>
      </c>
      <c r="E12" s="23">
        <f>Raw!E10</f>
        <v>500</v>
      </c>
      <c r="F12" s="23">
        <f>Raw!F10</f>
        <v>500</v>
      </c>
      <c r="G12" s="23">
        <f>Raw!G10</f>
        <v>500</v>
      </c>
      <c r="H12" s="23">
        <f t="shared" si="0"/>
        <v>1500</v>
      </c>
      <c r="I12" s="23">
        <f t="shared" si="1"/>
        <v>500</v>
      </c>
      <c r="J12" s="24">
        <f>IF(Raw!H10="","",Raw!H10)</f>
        <v>5</v>
      </c>
      <c r="K12" s="24">
        <f>IF(Raw!I10="","",Raw!I10)</f>
        <v>5</v>
      </c>
      <c r="L12" s="23">
        <f t="shared" si="2"/>
        <v>100</v>
      </c>
      <c r="M12" s="23">
        <f t="shared" si="3"/>
        <v>100</v>
      </c>
      <c r="N12" s="25">
        <f t="shared" si="4"/>
        <v>0</v>
      </c>
      <c r="O12" s="26" t="str">
        <f>IF(Raw!J10="Monthly","Monthly",DATE(LEFT(Raw!J10,4),MID(Raw!J10,6,2),RIGHT(Raw!J10,2)))</f>
        <v>Monthly</v>
      </c>
      <c r="P12" s="22" t="str">
        <f>IF(COUNTIF(Inputs!$A$20:$A$24,A12)&gt;0,"Yes","No")</f>
        <v>Yes</v>
      </c>
      <c r="Q12" s="22" t="s">
        <v>169</v>
      </c>
      <c r="R12" s="22" t="s">
        <v>144</v>
      </c>
      <c r="S12" s="22" t="s">
        <v>170</v>
      </c>
      <c r="T12" s="22" t="s">
        <v>171</v>
      </c>
      <c r="U12" s="22" t="s">
        <v>36</v>
      </c>
      <c r="V12" s="26"/>
      <c r="W12" s="22" t="s">
        <v>147</v>
      </c>
      <c r="X12" s="25">
        <v>0</v>
      </c>
      <c r="Y12" s="23">
        <f t="shared" si="5"/>
        <v>0</v>
      </c>
      <c r="Z12" s="23">
        <f>Y12*Inputs!$B$12</f>
        <v>0</v>
      </c>
      <c r="AA12" s="22" t="str">
        <f t="shared" si="6"/>
        <v>-</v>
      </c>
      <c r="AB12" s="23">
        <v>0</v>
      </c>
    </row>
    <row r="13" spans="1:28" x14ac:dyDescent="0.2">
      <c r="A13" s="22" t="str">
        <f>Raw!A11</f>
        <v>Shopify Plus</v>
      </c>
      <c r="B13" s="22" t="str">
        <f>Raw!B11</f>
        <v>E-commerce</v>
      </c>
      <c r="C13" s="22" t="str">
        <f>Raw!C11</f>
        <v>Marketing</v>
      </c>
      <c r="D13" s="22" t="str">
        <f>Raw!D11</f>
        <v>Monthly</v>
      </c>
      <c r="E13" s="23">
        <f>Raw!E11</f>
        <v>2300</v>
      </c>
      <c r="F13" s="23">
        <f>Raw!F11</f>
        <v>2300</v>
      </c>
      <c r="G13" s="23">
        <f>Raw!G11</f>
        <v>2300</v>
      </c>
      <c r="H13" s="23">
        <f t="shared" si="0"/>
        <v>6900</v>
      </c>
      <c r="I13" s="23">
        <f t="shared" si="1"/>
        <v>2300</v>
      </c>
      <c r="J13" s="24" t="str">
        <f>IF(Raw!H11="","",Raw!H11)</f>
        <v/>
      </c>
      <c r="K13" s="24" t="str">
        <f>IF(Raw!I11="","",Raw!I11)</f>
        <v/>
      </c>
      <c r="L13" s="23" t="str">
        <f t="shared" si="2"/>
        <v/>
      </c>
      <c r="M13" s="23" t="str">
        <f t="shared" si="3"/>
        <v>n/a</v>
      </c>
      <c r="N13" s="25" t="str">
        <f t="shared" si="4"/>
        <v/>
      </c>
      <c r="O13" s="26" t="str">
        <f>IF(Raw!J11="Monthly","Monthly",DATE(LEFT(Raw!J11,4),MID(Raw!J11,6,2),RIGHT(Raw!J11,2)))</f>
        <v>Monthly</v>
      </c>
      <c r="P13" s="22" t="str">
        <f>IF(COUNTIF(Inputs!$A$20:$A$24,A13)&gt;0,"Yes","No")</f>
        <v>Yes</v>
      </c>
      <c r="Q13" s="22" t="s">
        <v>169</v>
      </c>
      <c r="R13" s="22" t="s">
        <v>144</v>
      </c>
      <c r="S13" s="22" t="s">
        <v>172</v>
      </c>
      <c r="T13" s="22" t="s">
        <v>171</v>
      </c>
      <c r="U13" s="22" t="s">
        <v>158</v>
      </c>
      <c r="V13" s="26"/>
      <c r="W13" s="22" t="s">
        <v>147</v>
      </c>
      <c r="X13" s="25">
        <v>0</v>
      </c>
      <c r="Y13" s="23">
        <f t="shared" si="5"/>
        <v>0</v>
      </c>
      <c r="Z13" s="23">
        <f>Y13*Inputs!$B$12</f>
        <v>0</v>
      </c>
      <c r="AA13" s="22" t="str">
        <f t="shared" si="6"/>
        <v>-</v>
      </c>
      <c r="AB13" s="23">
        <v>0</v>
      </c>
    </row>
    <row r="14" spans="1:28" ht="38.25" x14ac:dyDescent="0.2">
      <c r="A14" s="22" t="str">
        <f>Raw!A12</f>
        <v>Klaviyo</v>
      </c>
      <c r="B14" s="22" t="str">
        <f>Raw!B12</f>
        <v>Email marketing</v>
      </c>
      <c r="C14" s="22" t="str">
        <f>Raw!C12</f>
        <v>Marketing</v>
      </c>
      <c r="D14" s="22" t="str">
        <f>Raw!D12</f>
        <v>Monthly</v>
      </c>
      <c r="E14" s="23">
        <f>Raw!E12</f>
        <v>720</v>
      </c>
      <c r="F14" s="23">
        <f>Raw!F12</f>
        <v>720</v>
      </c>
      <c r="G14" s="23">
        <f>Raw!G12</f>
        <v>945</v>
      </c>
      <c r="H14" s="23">
        <f t="shared" si="0"/>
        <v>2385</v>
      </c>
      <c r="I14" s="23">
        <f t="shared" si="1"/>
        <v>795</v>
      </c>
      <c r="J14" s="24" t="str">
        <f>IF(Raw!H12="","",Raw!H12)</f>
        <v/>
      </c>
      <c r="K14" s="24" t="str">
        <f>IF(Raw!I12="","",Raw!I12)</f>
        <v/>
      </c>
      <c r="L14" s="23" t="str">
        <f t="shared" si="2"/>
        <v/>
      </c>
      <c r="M14" s="23" t="str">
        <f t="shared" si="3"/>
        <v>n/a</v>
      </c>
      <c r="N14" s="25" t="str">
        <f t="shared" si="4"/>
        <v/>
      </c>
      <c r="O14" s="26" t="str">
        <f>IF(Raw!J12="Monthly","Monthly",DATE(LEFT(Raw!J12,4),MID(Raw!J12,6,2),RIGHT(Raw!J12,2)))</f>
        <v>Monthly</v>
      </c>
      <c r="P14" s="22" t="str">
        <f>IF(COUNTIF(Inputs!$A$20:$A$24,A14)&gt;0,"Yes","No")</f>
        <v>Yes</v>
      </c>
      <c r="Q14" s="22" t="s">
        <v>169</v>
      </c>
      <c r="R14" s="22" t="s">
        <v>144</v>
      </c>
      <c r="S14" s="22" t="s">
        <v>173</v>
      </c>
      <c r="T14" s="22" t="s">
        <v>174</v>
      </c>
      <c r="U14" s="22" t="s">
        <v>175</v>
      </c>
      <c r="V14" s="26">
        <f>DATE(2026,10,23)</f>
        <v>46318</v>
      </c>
      <c r="W14" s="22" t="s">
        <v>147</v>
      </c>
      <c r="X14" s="25">
        <v>0</v>
      </c>
      <c r="Y14" s="23">
        <f t="shared" si="5"/>
        <v>0</v>
      </c>
      <c r="Z14" s="23">
        <f>Y14*Inputs!$B$12</f>
        <v>0</v>
      </c>
      <c r="AA14" s="22" t="str">
        <f t="shared" si="6"/>
        <v>-</v>
      </c>
      <c r="AB14" s="23">
        <v>0</v>
      </c>
    </row>
    <row r="15" spans="1:28" x14ac:dyDescent="0.2">
      <c r="A15" s="22" t="str">
        <f>Raw!A13</f>
        <v>Canva Teams</v>
      </c>
      <c r="B15" s="22" t="str">
        <f>Raw!B13</f>
        <v>Design</v>
      </c>
      <c r="C15" s="22" t="str">
        <f>Raw!C13</f>
        <v>Marketing</v>
      </c>
      <c r="D15" s="22" t="str">
        <f>Raw!D13</f>
        <v>Monthly</v>
      </c>
      <c r="E15" s="23">
        <f>Raw!E13</f>
        <v>100</v>
      </c>
      <c r="F15" s="23">
        <f>Raw!F13</f>
        <v>100</v>
      </c>
      <c r="G15" s="23">
        <f>Raw!G13</f>
        <v>100</v>
      </c>
      <c r="H15" s="23">
        <f t="shared" si="0"/>
        <v>300</v>
      </c>
      <c r="I15" s="23">
        <f t="shared" si="1"/>
        <v>100</v>
      </c>
      <c r="J15" s="24">
        <f>IF(Raw!H13="","",Raw!H13)</f>
        <v>10</v>
      </c>
      <c r="K15" s="24">
        <f>IF(Raw!I13="","",Raw!I13)</f>
        <v>6</v>
      </c>
      <c r="L15" s="23">
        <f t="shared" si="2"/>
        <v>10</v>
      </c>
      <c r="M15" s="23">
        <f t="shared" si="3"/>
        <v>16.666666666666668</v>
      </c>
      <c r="N15" s="25">
        <f t="shared" si="4"/>
        <v>4</v>
      </c>
      <c r="O15" s="26" t="str">
        <f>IF(Raw!J13="Monthly","Monthly",DATE(LEFT(Raw!J13,4),MID(Raw!J13,6,2),RIGHT(Raw!J13,2)))</f>
        <v>Monthly</v>
      </c>
      <c r="P15" s="22" t="str">
        <f>IF(COUNTIF(Inputs!$A$20:$A$24,A15)&gt;0,"Yes","No")</f>
        <v>No</v>
      </c>
      <c r="Q15" s="22" t="s">
        <v>169</v>
      </c>
      <c r="R15" s="22" t="s">
        <v>128</v>
      </c>
      <c r="S15" s="22" t="s">
        <v>176</v>
      </c>
      <c r="T15" s="22" t="s">
        <v>177</v>
      </c>
      <c r="U15" s="22" t="s">
        <v>158</v>
      </c>
      <c r="V15" s="26">
        <f>DATE(2026,10,23)</f>
        <v>46318</v>
      </c>
      <c r="W15" s="22" t="s">
        <v>162</v>
      </c>
      <c r="X15" s="25">
        <v>4</v>
      </c>
      <c r="Y15" s="23">
        <f t="shared" si="5"/>
        <v>40</v>
      </c>
      <c r="Z15" s="23">
        <f>Y15*Inputs!$B$12</f>
        <v>480</v>
      </c>
      <c r="AA15" s="22" t="str">
        <f t="shared" si="6"/>
        <v>4 seats × $10.00 × 12</v>
      </c>
      <c r="AB15" s="23">
        <v>0</v>
      </c>
    </row>
    <row r="16" spans="1:28" ht="38.25" x14ac:dyDescent="0.2">
      <c r="A16" s="22" t="str">
        <f>Raw!A14</f>
        <v>Adobe Creative Cloud</v>
      </c>
      <c r="B16" s="22" t="str">
        <f>Raw!B14</f>
        <v>Design</v>
      </c>
      <c r="C16" s="22" t="str">
        <f>Raw!C14</f>
        <v>Marketing</v>
      </c>
      <c r="D16" s="22" t="str">
        <f>Raw!D14</f>
        <v>Annual billed monthly</v>
      </c>
      <c r="E16" s="23">
        <f>Raw!E14</f>
        <v>239.96</v>
      </c>
      <c r="F16" s="23">
        <f>Raw!F14</f>
        <v>239.96</v>
      </c>
      <c r="G16" s="23">
        <f>Raw!G14</f>
        <v>239.96</v>
      </c>
      <c r="H16" s="23">
        <f t="shared" si="0"/>
        <v>719.88</v>
      </c>
      <c r="I16" s="23">
        <f t="shared" si="1"/>
        <v>239.96</v>
      </c>
      <c r="J16" s="24">
        <f>IF(Raw!H14="","",Raw!H14)</f>
        <v>4</v>
      </c>
      <c r="K16" s="24">
        <f>IF(Raw!I14="","",Raw!I14)</f>
        <v>2</v>
      </c>
      <c r="L16" s="23">
        <f t="shared" si="2"/>
        <v>59.99</v>
      </c>
      <c r="M16" s="23">
        <f t="shared" si="3"/>
        <v>119.98</v>
      </c>
      <c r="N16" s="25">
        <f t="shared" si="4"/>
        <v>2</v>
      </c>
      <c r="O16" s="26">
        <f>IF(Raw!J14="Monthly","Monthly",DATE(LEFT(Raw!J14,4),MID(Raw!J14,6,2),RIGHT(Raw!J14,2)))</f>
        <v>46368</v>
      </c>
      <c r="P16" s="22" t="str">
        <f>IF(COUNTIF(Inputs!$A$20:$A$24,A16)&gt;0,"Yes","No")</f>
        <v>No</v>
      </c>
      <c r="Q16" s="22" t="s">
        <v>169</v>
      </c>
      <c r="R16" s="22" t="s">
        <v>155</v>
      </c>
      <c r="S16" s="22" t="s">
        <v>178</v>
      </c>
      <c r="T16" s="22" t="s">
        <v>179</v>
      </c>
      <c r="U16" s="22" t="s">
        <v>158</v>
      </c>
      <c r="V16" s="26">
        <f>O16-Inputs!$B$11</f>
        <v>46358</v>
      </c>
      <c r="W16" s="22" t="s">
        <v>162</v>
      </c>
      <c r="X16" s="25">
        <v>2</v>
      </c>
      <c r="Y16" s="23">
        <f t="shared" si="5"/>
        <v>119.98</v>
      </c>
      <c r="Z16" s="23">
        <f>Y16*Inputs!$B$12</f>
        <v>1439.76</v>
      </c>
      <c r="AA16" s="22" t="str">
        <f t="shared" si="6"/>
        <v>2 seats × $59.99 × 12</v>
      </c>
      <c r="AB16" s="23">
        <v>0</v>
      </c>
    </row>
    <row r="17" spans="1:28" x14ac:dyDescent="0.2">
      <c r="A17" s="22" t="str">
        <f>Raw!A15</f>
        <v>DocuSign Standard</v>
      </c>
      <c r="B17" s="22" t="str">
        <f>Raw!B15</f>
        <v>Legal</v>
      </c>
      <c r="C17" s="22" t="str">
        <f>Raw!C15</f>
        <v>Tom</v>
      </c>
      <c r="D17" s="22" t="str">
        <f>Raw!D15</f>
        <v>Monthly</v>
      </c>
      <c r="E17" s="23">
        <f>Raw!E15</f>
        <v>120</v>
      </c>
      <c r="F17" s="23">
        <f>Raw!F15</f>
        <v>120</v>
      </c>
      <c r="G17" s="23">
        <f>Raw!G15</f>
        <v>120</v>
      </c>
      <c r="H17" s="23">
        <f t="shared" si="0"/>
        <v>360</v>
      </c>
      <c r="I17" s="23">
        <f t="shared" si="1"/>
        <v>120</v>
      </c>
      <c r="J17" s="24">
        <f>IF(Raw!H15="","",Raw!H15)</f>
        <v>3</v>
      </c>
      <c r="K17" s="24">
        <f>IF(Raw!I15="","",Raw!I15)</f>
        <v>3</v>
      </c>
      <c r="L17" s="23">
        <f t="shared" si="2"/>
        <v>40</v>
      </c>
      <c r="M17" s="23">
        <f t="shared" si="3"/>
        <v>40</v>
      </c>
      <c r="N17" s="25">
        <f t="shared" si="4"/>
        <v>0</v>
      </c>
      <c r="O17" s="26" t="str">
        <f>IF(Raw!J15="Monthly","Monthly",DATE(LEFT(Raw!J15,4),MID(Raw!J15,6,2),RIGHT(Raw!J15,2)))</f>
        <v>Monthly</v>
      </c>
      <c r="P17" s="22" t="str">
        <f>IF(COUNTIF(Inputs!$A$20:$A$24,A17)&gt;0,"Yes","No")</f>
        <v>No</v>
      </c>
      <c r="Q17" s="22" t="s">
        <v>169</v>
      </c>
      <c r="R17" s="22" t="s">
        <v>144</v>
      </c>
      <c r="S17" s="22" t="s">
        <v>180</v>
      </c>
      <c r="T17" s="22" t="s">
        <v>181</v>
      </c>
      <c r="U17" s="22" t="s">
        <v>51</v>
      </c>
      <c r="V17" s="26"/>
      <c r="W17" s="22" t="s">
        <v>147</v>
      </c>
      <c r="X17" s="25">
        <v>0</v>
      </c>
      <c r="Y17" s="23">
        <f t="shared" si="5"/>
        <v>0</v>
      </c>
      <c r="Z17" s="23">
        <f>Y17*Inputs!$B$12</f>
        <v>0</v>
      </c>
      <c r="AA17" s="22" t="str">
        <f t="shared" si="6"/>
        <v>-</v>
      </c>
      <c r="AB17" s="23">
        <v>0</v>
      </c>
    </row>
    <row r="18" spans="1:28" x14ac:dyDescent="0.2">
      <c r="A18" s="22" t="str">
        <f>Raw!A16</f>
        <v>QuickBooks Online Advanced</v>
      </c>
      <c r="B18" s="22" t="str">
        <f>Raw!B16</f>
        <v>Finance</v>
      </c>
      <c r="C18" s="22" t="str">
        <f>Raw!C16</f>
        <v>Tom</v>
      </c>
      <c r="D18" s="22" t="str">
        <f>Raw!D16</f>
        <v>Monthly</v>
      </c>
      <c r="E18" s="23">
        <f>Raw!E16</f>
        <v>235</v>
      </c>
      <c r="F18" s="23">
        <f>Raw!F16</f>
        <v>235</v>
      </c>
      <c r="G18" s="23">
        <f>Raw!G16</f>
        <v>235</v>
      </c>
      <c r="H18" s="23">
        <f t="shared" si="0"/>
        <v>705</v>
      </c>
      <c r="I18" s="23">
        <f t="shared" si="1"/>
        <v>235</v>
      </c>
      <c r="J18" s="24" t="str">
        <f>IF(Raw!H16="","",Raw!H16)</f>
        <v/>
      </c>
      <c r="K18" s="24" t="str">
        <f>IF(Raw!I16="","",Raw!I16)</f>
        <v/>
      </c>
      <c r="L18" s="23" t="str">
        <f t="shared" si="2"/>
        <v/>
      </c>
      <c r="M18" s="23" t="str">
        <f t="shared" si="3"/>
        <v>n/a</v>
      </c>
      <c r="N18" s="25" t="str">
        <f t="shared" si="4"/>
        <v/>
      </c>
      <c r="O18" s="26" t="str">
        <f>IF(Raw!J16="Monthly","Monthly",DATE(LEFT(Raw!J16,4),MID(Raw!J16,6,2),RIGHT(Raw!J16,2)))</f>
        <v>Monthly</v>
      </c>
      <c r="P18" s="22" t="str">
        <f>IF(COUNTIF(Inputs!$A$20:$A$24,A18)&gt;0,"Yes","No")</f>
        <v>No</v>
      </c>
      <c r="Q18" s="22" t="s">
        <v>169</v>
      </c>
      <c r="R18" s="22" t="s">
        <v>144</v>
      </c>
      <c r="S18" s="22" t="s">
        <v>182</v>
      </c>
      <c r="T18" s="22" t="s">
        <v>181</v>
      </c>
      <c r="U18" s="22" t="s">
        <v>51</v>
      </c>
      <c r="V18" s="26"/>
      <c r="W18" s="22" t="s">
        <v>147</v>
      </c>
      <c r="X18" s="25">
        <v>0</v>
      </c>
      <c r="Y18" s="23">
        <f t="shared" si="5"/>
        <v>0</v>
      </c>
      <c r="Z18" s="23">
        <f>Y18*Inputs!$B$12</f>
        <v>0</v>
      </c>
      <c r="AA18" s="22" t="str">
        <f t="shared" si="6"/>
        <v>-</v>
      </c>
      <c r="AB18" s="23">
        <v>0</v>
      </c>
    </row>
    <row r="19" spans="1:28" ht="25.5" x14ac:dyDescent="0.2">
      <c r="A19" s="22" t="str">
        <f>Raw!A17</f>
        <v>Gusto</v>
      </c>
      <c r="B19" s="22" t="str">
        <f>Raw!B17</f>
        <v>Payroll</v>
      </c>
      <c r="C19" s="22" t="str">
        <f>Raw!C17</f>
        <v>Janelle</v>
      </c>
      <c r="D19" s="22" t="str">
        <f>Raw!D17</f>
        <v>Monthly</v>
      </c>
      <c r="E19" s="23">
        <f>Raw!E17</f>
        <v>596</v>
      </c>
      <c r="F19" s="23">
        <f>Raw!F17</f>
        <v>596</v>
      </c>
      <c r="G19" s="23">
        <f>Raw!G17</f>
        <v>596</v>
      </c>
      <c r="H19" s="23">
        <f t="shared" si="0"/>
        <v>1788</v>
      </c>
      <c r="I19" s="23">
        <f t="shared" si="1"/>
        <v>596</v>
      </c>
      <c r="J19" s="24" t="str">
        <f>IF(Raw!H17="","",Raw!H17)</f>
        <v/>
      </c>
      <c r="K19" s="24" t="str">
        <f>IF(Raw!I17="","",Raw!I17)</f>
        <v/>
      </c>
      <c r="L19" s="23" t="str">
        <f t="shared" si="2"/>
        <v/>
      </c>
      <c r="M19" s="23" t="str">
        <f t="shared" si="3"/>
        <v>n/a</v>
      </c>
      <c r="N19" s="25" t="str">
        <f t="shared" si="4"/>
        <v/>
      </c>
      <c r="O19" s="26" t="str">
        <f>IF(Raw!J17="Monthly","Monthly",DATE(LEFT(Raw!J17,4),MID(Raw!J17,6,2),RIGHT(Raw!J17,2)))</f>
        <v>Monthly</v>
      </c>
      <c r="P19" s="22" t="str">
        <f>IF(COUNTIF(Inputs!$A$20:$A$24,A19)&gt;0,"Yes","No")</f>
        <v>No</v>
      </c>
      <c r="Q19" s="22" t="s">
        <v>169</v>
      </c>
      <c r="R19" s="22" t="s">
        <v>144</v>
      </c>
      <c r="S19" s="22" t="s">
        <v>183</v>
      </c>
      <c r="T19" s="22" t="s">
        <v>184</v>
      </c>
      <c r="U19" s="22" t="s">
        <v>56</v>
      </c>
      <c r="V19" s="26">
        <f>DATE(2026,10,23)</f>
        <v>46318</v>
      </c>
      <c r="W19" s="22" t="s">
        <v>147</v>
      </c>
      <c r="X19" s="25">
        <v>0</v>
      </c>
      <c r="Y19" s="23">
        <f t="shared" si="5"/>
        <v>0</v>
      </c>
      <c r="Z19" s="23">
        <f>Y19*Inputs!$B$12</f>
        <v>0</v>
      </c>
      <c r="AA19" s="22" t="str">
        <f t="shared" si="6"/>
        <v>-</v>
      </c>
      <c r="AB19" s="23">
        <v>0</v>
      </c>
    </row>
    <row r="20" spans="1:28" x14ac:dyDescent="0.2">
      <c r="A20" s="22" t="str">
        <f>Raw!A18</f>
        <v>Calendly Teams</v>
      </c>
      <c r="B20" s="22" t="str">
        <f>Raw!B18</f>
        <v>Scheduling</v>
      </c>
      <c r="C20" s="22" t="str">
        <f>Raw!C18</f>
        <v>Sales</v>
      </c>
      <c r="D20" s="22" t="str">
        <f>Raw!D18</f>
        <v>Monthly</v>
      </c>
      <c r="E20" s="23">
        <f>Raw!E18</f>
        <v>128</v>
      </c>
      <c r="F20" s="23">
        <f>Raw!F18</f>
        <v>128</v>
      </c>
      <c r="G20" s="23">
        <f>Raw!G18</f>
        <v>128</v>
      </c>
      <c r="H20" s="23">
        <f t="shared" si="0"/>
        <v>384</v>
      </c>
      <c r="I20" s="23">
        <f t="shared" si="1"/>
        <v>128</v>
      </c>
      <c r="J20" s="24">
        <f>IF(Raw!H18="","",Raw!H18)</f>
        <v>8</v>
      </c>
      <c r="K20" s="24">
        <f>IF(Raw!I18="","",Raw!I18)</f>
        <v>8</v>
      </c>
      <c r="L20" s="23">
        <f t="shared" si="2"/>
        <v>16</v>
      </c>
      <c r="M20" s="23">
        <f t="shared" si="3"/>
        <v>16</v>
      </c>
      <c r="N20" s="25">
        <f t="shared" si="4"/>
        <v>0</v>
      </c>
      <c r="O20" s="26" t="str">
        <f>IF(Raw!J18="Monthly","Monthly",DATE(LEFT(Raw!J18,4),MID(Raw!J18,6,2),RIGHT(Raw!J18,2)))</f>
        <v>Monthly</v>
      </c>
      <c r="P20" s="22" t="str">
        <f>IF(COUNTIF(Inputs!$A$20:$A$24,A20)&gt;0,"Yes","No")</f>
        <v>No</v>
      </c>
      <c r="Q20" s="22" t="s">
        <v>169</v>
      </c>
      <c r="R20" s="22" t="s">
        <v>144</v>
      </c>
      <c r="S20" s="22" t="s">
        <v>185</v>
      </c>
      <c r="T20" s="22" t="s">
        <v>181</v>
      </c>
      <c r="U20" s="22" t="s">
        <v>168</v>
      </c>
      <c r="V20" s="26"/>
      <c r="W20" s="22" t="s">
        <v>147</v>
      </c>
      <c r="X20" s="25">
        <v>0</v>
      </c>
      <c r="Y20" s="23">
        <f t="shared" si="5"/>
        <v>0</v>
      </c>
      <c r="Z20" s="23">
        <f>Y20*Inputs!$B$12</f>
        <v>0</v>
      </c>
      <c r="AA20" s="22" t="str">
        <f t="shared" si="6"/>
        <v>-</v>
      </c>
      <c r="AB20" s="23">
        <v>0</v>
      </c>
    </row>
    <row r="21" spans="1:28" ht="25.5" x14ac:dyDescent="0.2">
      <c r="A21" s="22" t="str">
        <f>Raw!A19</f>
        <v>Loom Business</v>
      </c>
      <c r="B21" s="22" t="str">
        <f>Raw!B19</f>
        <v>Video</v>
      </c>
      <c r="C21" s="22" t="str">
        <f>Raw!C19</f>
        <v>Marketing</v>
      </c>
      <c r="D21" s="22" t="str">
        <f>Raw!D19</f>
        <v>Monthly</v>
      </c>
      <c r="E21" s="23">
        <f>Raw!E19</f>
        <v>225</v>
      </c>
      <c r="F21" s="23">
        <f>Raw!F19</f>
        <v>225</v>
      </c>
      <c r="G21" s="23">
        <f>Raw!G19</f>
        <v>225</v>
      </c>
      <c r="H21" s="23">
        <f t="shared" si="0"/>
        <v>675</v>
      </c>
      <c r="I21" s="23">
        <f t="shared" si="1"/>
        <v>225</v>
      </c>
      <c r="J21" s="24">
        <f>IF(Raw!H19="","",Raw!H19)</f>
        <v>15</v>
      </c>
      <c r="K21" s="24">
        <f>IF(Raw!I19="","",Raw!I19)</f>
        <v>4</v>
      </c>
      <c r="L21" s="23">
        <f t="shared" si="2"/>
        <v>15</v>
      </c>
      <c r="M21" s="23">
        <f t="shared" si="3"/>
        <v>56.25</v>
      </c>
      <c r="N21" s="25">
        <f t="shared" si="4"/>
        <v>11</v>
      </c>
      <c r="O21" s="26" t="str">
        <f>IF(Raw!J19="Monthly","Monthly",DATE(LEFT(Raw!J19,4),MID(Raw!J19,6,2),RIGHT(Raw!J19,2)))</f>
        <v>Monthly</v>
      </c>
      <c r="P21" s="22" t="str">
        <f>IF(COUNTIF(Inputs!$A$20:$A$24,A21)&gt;0,"Yes","No")</f>
        <v>No</v>
      </c>
      <c r="Q21" s="22" t="s">
        <v>186</v>
      </c>
      <c r="R21" s="22" t="s">
        <v>128</v>
      </c>
      <c r="S21" s="22" t="s">
        <v>187</v>
      </c>
      <c r="T21" s="22" t="s">
        <v>188</v>
      </c>
      <c r="U21" s="22" t="s">
        <v>158</v>
      </c>
      <c r="V21" s="26">
        <f>DATE(2026,10,23)</f>
        <v>46318</v>
      </c>
      <c r="W21" s="22" t="s">
        <v>162</v>
      </c>
      <c r="X21" s="25">
        <v>11</v>
      </c>
      <c r="Y21" s="23">
        <f t="shared" si="5"/>
        <v>165</v>
      </c>
      <c r="Z21" s="23">
        <f>Y21*Inputs!$B$12</f>
        <v>1980</v>
      </c>
      <c r="AA21" s="22" t="str">
        <f t="shared" si="6"/>
        <v>11 seats × $15.00 × 12</v>
      </c>
      <c r="AB21" s="23">
        <v>0</v>
      </c>
    </row>
    <row r="22" spans="1:28" ht="25.5" x14ac:dyDescent="0.2">
      <c r="A22" s="22" t="str">
        <f>Raw!A20</f>
        <v>Dropbox Business</v>
      </c>
      <c r="B22" s="22" t="str">
        <f>Raw!B20</f>
        <v>Storage</v>
      </c>
      <c r="C22" s="22" t="str">
        <f>Raw!C20</f>
        <v>Marcus</v>
      </c>
      <c r="D22" s="22" t="str">
        <f>Raw!D20</f>
        <v>Annual auto-renew billed monthly</v>
      </c>
      <c r="E22" s="23">
        <f>Raw!E20</f>
        <v>300</v>
      </c>
      <c r="F22" s="23">
        <f>Raw!F20</f>
        <v>300</v>
      </c>
      <c r="G22" s="23">
        <f>Raw!G20</f>
        <v>300</v>
      </c>
      <c r="H22" s="23">
        <f t="shared" si="0"/>
        <v>900</v>
      </c>
      <c r="I22" s="23">
        <f t="shared" si="1"/>
        <v>300</v>
      </c>
      <c r="J22" s="24">
        <f>IF(Raw!H20="","",Raw!H20)</f>
        <v>20</v>
      </c>
      <c r="K22" s="24">
        <f>IF(Raw!I20="","",Raw!I20)</f>
        <v>5</v>
      </c>
      <c r="L22" s="23">
        <f t="shared" si="2"/>
        <v>15</v>
      </c>
      <c r="M22" s="23">
        <f t="shared" si="3"/>
        <v>60</v>
      </c>
      <c r="N22" s="25">
        <f t="shared" si="4"/>
        <v>15</v>
      </c>
      <c r="O22" s="26">
        <f>IF(Raw!J20="Monthly","Monthly",DATE(LEFT(Raw!J20,4),MID(Raw!J20,6,2),RIGHT(Raw!J20,2)))</f>
        <v>46356</v>
      </c>
      <c r="P22" s="22" t="str">
        <f>IF(COUNTIF(Inputs!$A$20:$A$24,A22)&gt;0,"Yes","No")</f>
        <v>No</v>
      </c>
      <c r="Q22" s="22" t="s">
        <v>189</v>
      </c>
      <c r="R22" s="22" t="s">
        <v>344</v>
      </c>
      <c r="S22" s="22" t="s">
        <v>190</v>
      </c>
      <c r="T22" s="22" t="s">
        <v>191</v>
      </c>
      <c r="U22" s="22" t="s">
        <v>13</v>
      </c>
      <c r="V22" s="26">
        <f>O22-Inputs!$B$11</f>
        <v>46346</v>
      </c>
      <c r="W22" s="22" t="s">
        <v>153</v>
      </c>
      <c r="X22" s="25">
        <v>0</v>
      </c>
      <c r="Y22" s="23">
        <f t="shared" si="5"/>
        <v>300</v>
      </c>
      <c r="Z22" s="23">
        <f>Y22*Inputs!$B$12</f>
        <v>3600</v>
      </c>
      <c r="AA22" s="22" t="str">
        <f t="shared" si="6"/>
        <v>$300.00/mo (Sep) × 12</v>
      </c>
      <c r="AB22" s="23">
        <v>0</v>
      </c>
    </row>
    <row r="23" spans="1:28" ht="25.5" x14ac:dyDescent="0.2">
      <c r="A23" s="22" t="str">
        <f>Raw!A21</f>
        <v>ShipStation</v>
      </c>
      <c r="B23" s="22" t="str">
        <f>Raw!B21</f>
        <v>Shipping</v>
      </c>
      <c r="C23" s="22" t="str">
        <f>Raw!C21</f>
        <v>Luis</v>
      </c>
      <c r="D23" s="22" t="str">
        <f>Raw!D21</f>
        <v>Monthly</v>
      </c>
      <c r="E23" s="23">
        <f>Raw!E21</f>
        <v>229</v>
      </c>
      <c r="F23" s="23">
        <f>Raw!F21</f>
        <v>229</v>
      </c>
      <c r="G23" s="23">
        <f>Raw!G21</f>
        <v>229</v>
      </c>
      <c r="H23" s="23">
        <f t="shared" si="0"/>
        <v>687</v>
      </c>
      <c r="I23" s="23">
        <f t="shared" si="1"/>
        <v>229</v>
      </c>
      <c r="J23" s="24">
        <f>IF(Raw!H21="","",Raw!H21)</f>
        <v>5</v>
      </c>
      <c r="K23" s="24">
        <f>IF(Raw!I21="","",Raw!I21)</f>
        <v>5</v>
      </c>
      <c r="L23" s="23">
        <f t="shared" si="2"/>
        <v>45.8</v>
      </c>
      <c r="M23" s="23">
        <f t="shared" si="3"/>
        <v>45.8</v>
      </c>
      <c r="N23" s="25">
        <f t="shared" si="4"/>
        <v>0</v>
      </c>
      <c r="O23" s="26" t="str">
        <f>IF(Raw!J21="Monthly","Monthly",DATE(LEFT(Raw!J21,4),MID(Raw!J21,6,2),RIGHT(Raw!J21,2)))</f>
        <v>Monthly</v>
      </c>
      <c r="P23" s="22" t="str">
        <f>IF(COUNTIF(Inputs!$A$20:$A$24,A23)&gt;0,"Yes","No")</f>
        <v>Yes</v>
      </c>
      <c r="Q23" s="22" t="s">
        <v>169</v>
      </c>
      <c r="R23" s="22" t="s">
        <v>144</v>
      </c>
      <c r="S23" s="22" t="s">
        <v>192</v>
      </c>
      <c r="T23" s="22" t="s">
        <v>193</v>
      </c>
      <c r="U23" s="22" t="s">
        <v>68</v>
      </c>
      <c r="V23" s="26"/>
      <c r="W23" s="22" t="s">
        <v>147</v>
      </c>
      <c r="X23" s="25">
        <v>0</v>
      </c>
      <c r="Y23" s="23">
        <f t="shared" si="5"/>
        <v>0</v>
      </c>
      <c r="Z23" s="23">
        <f>Y23*Inputs!$B$12</f>
        <v>0</v>
      </c>
      <c r="AA23" s="22" t="str">
        <f t="shared" si="6"/>
        <v>-</v>
      </c>
      <c r="AB23" s="23">
        <v>0</v>
      </c>
    </row>
    <row r="24" spans="1:28" x14ac:dyDescent="0.2">
      <c r="A24" s="22" t="str">
        <f>Raw!A22</f>
        <v>Gorgias</v>
      </c>
      <c r="B24" s="22" t="str">
        <f>Raw!B22</f>
        <v>Customer service</v>
      </c>
      <c r="C24" s="22" t="str">
        <f>Raw!C22</f>
        <v>Marketing</v>
      </c>
      <c r="D24" s="22" t="str">
        <f>Raw!D22</f>
        <v>Monthly</v>
      </c>
      <c r="E24" s="23">
        <f>Raw!E22</f>
        <v>300</v>
      </c>
      <c r="F24" s="23">
        <f>Raw!F22</f>
        <v>300</v>
      </c>
      <c r="G24" s="23">
        <f>Raw!G22</f>
        <v>300</v>
      </c>
      <c r="H24" s="23">
        <f t="shared" si="0"/>
        <v>900</v>
      </c>
      <c r="I24" s="23">
        <f t="shared" si="1"/>
        <v>300</v>
      </c>
      <c r="J24" s="24">
        <f>IF(Raw!H22="","",Raw!H22)</f>
        <v>6</v>
      </c>
      <c r="K24" s="24">
        <f>IF(Raw!I22="","",Raw!I22)</f>
        <v>6</v>
      </c>
      <c r="L24" s="23">
        <f t="shared" si="2"/>
        <v>50</v>
      </c>
      <c r="M24" s="23">
        <f t="shared" si="3"/>
        <v>50</v>
      </c>
      <c r="N24" s="25">
        <f t="shared" si="4"/>
        <v>0</v>
      </c>
      <c r="O24" s="26" t="str">
        <f>IF(Raw!J22="Monthly","Monthly",DATE(LEFT(Raw!J22,4),MID(Raw!J22,6,2),RIGHT(Raw!J22,2)))</f>
        <v>Monthly</v>
      </c>
      <c r="P24" s="22" t="str">
        <f>IF(COUNTIF(Inputs!$A$20:$A$24,A24)&gt;0,"Yes","No")</f>
        <v>Yes</v>
      </c>
      <c r="Q24" s="22" t="s">
        <v>169</v>
      </c>
      <c r="R24" s="22" t="s">
        <v>144</v>
      </c>
      <c r="S24" s="22" t="s">
        <v>194</v>
      </c>
      <c r="T24" s="22" t="s">
        <v>171</v>
      </c>
      <c r="U24" s="22" t="s">
        <v>158</v>
      </c>
      <c r="V24" s="26"/>
      <c r="W24" s="22" t="s">
        <v>147</v>
      </c>
      <c r="X24" s="25">
        <v>0</v>
      </c>
      <c r="Y24" s="23">
        <f t="shared" si="5"/>
        <v>0</v>
      </c>
      <c r="Z24" s="23">
        <f>Y24*Inputs!$B$12</f>
        <v>0</v>
      </c>
      <c r="AA24" s="22" t="str">
        <f t="shared" si="6"/>
        <v>-</v>
      </c>
      <c r="AB24" s="23">
        <v>0</v>
      </c>
    </row>
    <row r="25" spans="1:28" x14ac:dyDescent="0.2">
      <c r="A25" s="22" t="str">
        <f>Raw!A23</f>
        <v>Grammarly Business</v>
      </c>
      <c r="B25" s="22" t="str">
        <f>Raw!B23</f>
        <v>Writing</v>
      </c>
      <c r="C25" s="22" t="str">
        <f>Raw!C23</f>
        <v>Marketing</v>
      </c>
      <c r="D25" s="22" t="str">
        <f>Raw!D23</f>
        <v>Monthly</v>
      </c>
      <c r="E25" s="23">
        <f>Raw!E23</f>
        <v>225</v>
      </c>
      <c r="F25" s="23">
        <f>Raw!F23</f>
        <v>225</v>
      </c>
      <c r="G25" s="23">
        <f>Raw!G23</f>
        <v>225</v>
      </c>
      <c r="H25" s="23">
        <f t="shared" si="0"/>
        <v>675</v>
      </c>
      <c r="I25" s="23">
        <f t="shared" si="1"/>
        <v>225</v>
      </c>
      <c r="J25" s="24">
        <f>IF(Raw!H23="","",Raw!H23)</f>
        <v>15</v>
      </c>
      <c r="K25" s="24">
        <f>IF(Raw!I23="","",Raw!I23)</f>
        <v>11</v>
      </c>
      <c r="L25" s="23">
        <f t="shared" si="2"/>
        <v>15</v>
      </c>
      <c r="M25" s="23">
        <f t="shared" si="3"/>
        <v>20.454545454545453</v>
      </c>
      <c r="N25" s="25">
        <f t="shared" si="4"/>
        <v>4</v>
      </c>
      <c r="O25" s="26" t="str">
        <f>IF(Raw!J23="Monthly","Monthly",DATE(LEFT(Raw!J23,4),MID(Raw!J23,6,2),RIGHT(Raw!J23,2)))</f>
        <v>Monthly</v>
      </c>
      <c r="P25" s="22" t="str">
        <f>IF(COUNTIF(Inputs!$A$20:$A$24,A25)&gt;0,"Yes","No")</f>
        <v>No</v>
      </c>
      <c r="Q25" s="22" t="s">
        <v>169</v>
      </c>
      <c r="R25" s="22" t="s">
        <v>128</v>
      </c>
      <c r="S25" s="22" t="s">
        <v>195</v>
      </c>
      <c r="T25" s="22" t="s">
        <v>177</v>
      </c>
      <c r="U25" s="22" t="s">
        <v>158</v>
      </c>
      <c r="V25" s="26">
        <f>DATE(2026,10,23)</f>
        <v>46318</v>
      </c>
      <c r="W25" s="22" t="s">
        <v>162</v>
      </c>
      <c r="X25" s="25">
        <v>4</v>
      </c>
      <c r="Y25" s="23">
        <f t="shared" si="5"/>
        <v>60</v>
      </c>
      <c r="Z25" s="23">
        <f>Y25*Inputs!$B$12</f>
        <v>720</v>
      </c>
      <c r="AA25" s="22" t="str">
        <f t="shared" si="6"/>
        <v>4 seats × $15.00 × 12</v>
      </c>
      <c r="AB25" s="23">
        <v>0</v>
      </c>
    </row>
    <row r="26" spans="1:28" ht="25.5" x14ac:dyDescent="0.2">
      <c r="A26" s="22" t="str">
        <f>Raw!A24</f>
        <v>Zapier Team</v>
      </c>
      <c r="B26" s="22" t="str">
        <f>Raw!B24</f>
        <v>Automation</v>
      </c>
      <c r="C26" s="22" t="str">
        <f>Raw!C24</f>
        <v>Marcus</v>
      </c>
      <c r="D26" s="22" t="str">
        <f>Raw!D24</f>
        <v>Monthly</v>
      </c>
      <c r="E26" s="23">
        <f>Raw!E24</f>
        <v>103.5</v>
      </c>
      <c r="F26" s="23">
        <f>Raw!F24</f>
        <v>103.5</v>
      </c>
      <c r="G26" s="23">
        <f>Raw!G24</f>
        <v>103.5</v>
      </c>
      <c r="H26" s="23">
        <f t="shared" si="0"/>
        <v>310.5</v>
      </c>
      <c r="I26" s="23">
        <f t="shared" si="1"/>
        <v>103.5</v>
      </c>
      <c r="J26" s="24" t="str">
        <f>IF(Raw!H24="","",Raw!H24)</f>
        <v/>
      </c>
      <c r="K26" s="24" t="str">
        <f>IF(Raw!I24="","",Raw!I24)</f>
        <v/>
      </c>
      <c r="L26" s="23" t="str">
        <f t="shared" si="2"/>
        <v/>
      </c>
      <c r="M26" s="23" t="str">
        <f t="shared" si="3"/>
        <v>n/a</v>
      </c>
      <c r="N26" s="25" t="str">
        <f t="shared" si="4"/>
        <v/>
      </c>
      <c r="O26" s="26" t="str">
        <f>IF(Raw!J24="Monthly","Monthly",DATE(LEFT(Raw!J24,4),MID(Raw!J24,6,2),RIGHT(Raw!J24,2)))</f>
        <v>Monthly</v>
      </c>
      <c r="P26" s="22" t="str">
        <f>IF(COUNTIF(Inputs!$A$20:$A$24,A26)&gt;0,"Yes","No")</f>
        <v>No</v>
      </c>
      <c r="Q26" s="22" t="s">
        <v>169</v>
      </c>
      <c r="R26" s="22" t="s">
        <v>144</v>
      </c>
      <c r="S26" s="22" t="s">
        <v>196</v>
      </c>
      <c r="T26" s="22" t="s">
        <v>197</v>
      </c>
      <c r="U26" s="22" t="s">
        <v>13</v>
      </c>
      <c r="V26" s="26"/>
      <c r="W26" s="22" t="s">
        <v>147</v>
      </c>
      <c r="X26" s="25">
        <v>0</v>
      </c>
      <c r="Y26" s="23">
        <f t="shared" si="5"/>
        <v>0</v>
      </c>
      <c r="Z26" s="23">
        <f>Y26*Inputs!$B$12</f>
        <v>0</v>
      </c>
      <c r="AA26" s="22" t="str">
        <f t="shared" si="6"/>
        <v>-</v>
      </c>
      <c r="AB26" s="23">
        <v>0</v>
      </c>
    </row>
    <row r="27" spans="1:28" ht="25.5" x14ac:dyDescent="0.2">
      <c r="A27" s="22" t="str">
        <f>Raw!A25</f>
        <v>Notion Plus</v>
      </c>
      <c r="B27" s="22" t="str">
        <f>Raw!B25</f>
        <v>Docs</v>
      </c>
      <c r="C27" s="22" t="str">
        <f>Raw!C25</f>
        <v>Sales</v>
      </c>
      <c r="D27" s="22" t="str">
        <f>Raw!D25</f>
        <v>Monthly</v>
      </c>
      <c r="E27" s="23">
        <f>Raw!E25</f>
        <v>120</v>
      </c>
      <c r="F27" s="23">
        <f>Raw!F25</f>
        <v>120</v>
      </c>
      <c r="G27" s="23">
        <f>Raw!G25</f>
        <v>120</v>
      </c>
      <c r="H27" s="23">
        <f t="shared" si="0"/>
        <v>360</v>
      </c>
      <c r="I27" s="23">
        <f t="shared" si="1"/>
        <v>120</v>
      </c>
      <c r="J27" s="24">
        <f>IF(Raw!H25="","",Raw!H25)</f>
        <v>10</v>
      </c>
      <c r="K27" s="24">
        <f>IF(Raw!I25="","",Raw!I25)</f>
        <v>0</v>
      </c>
      <c r="L27" s="23">
        <f t="shared" si="2"/>
        <v>12</v>
      </c>
      <c r="M27" s="23" t="str">
        <f t="shared" si="3"/>
        <v>n/a</v>
      </c>
      <c r="N27" s="25">
        <f t="shared" si="4"/>
        <v>10</v>
      </c>
      <c r="O27" s="26" t="str">
        <f>IF(Raw!J25="Monthly","Monthly",DATE(LEFT(Raw!J25,4),MID(Raw!J25,6,2),RIGHT(Raw!J25,2)))</f>
        <v>Monthly</v>
      </c>
      <c r="P27" s="22" t="str">
        <f>IF(COUNTIF(Inputs!$A$20:$A$24,A27)&gt;0,"Yes","No")</f>
        <v>No</v>
      </c>
      <c r="Q27" s="22" t="s">
        <v>169</v>
      </c>
      <c r="R27" s="22" t="s">
        <v>198</v>
      </c>
      <c r="S27" s="22" t="s">
        <v>199</v>
      </c>
      <c r="T27" s="22" t="s">
        <v>200</v>
      </c>
      <c r="U27" s="22" t="s">
        <v>51</v>
      </c>
      <c r="V27" s="26">
        <f>DATE(2026,10,23)</f>
        <v>46318</v>
      </c>
      <c r="W27" s="22" t="s">
        <v>201</v>
      </c>
      <c r="X27" s="25">
        <v>0</v>
      </c>
      <c r="Y27" s="23">
        <f t="shared" si="5"/>
        <v>120</v>
      </c>
      <c r="Z27" s="23">
        <f>Y27*Inputs!$B$12</f>
        <v>1440</v>
      </c>
      <c r="AA27" s="22" t="str">
        <f t="shared" si="6"/>
        <v>$120.00/mo (Sep) × 12</v>
      </c>
      <c r="AB27" s="23">
        <f>SUM(E27:G27)</f>
        <v>360</v>
      </c>
    </row>
    <row r="28" spans="1:28" ht="25.5" x14ac:dyDescent="0.2">
      <c r="A28" s="22" t="str">
        <f>Raw!A26</f>
        <v>LinkedIn Sales Navigator</v>
      </c>
      <c r="B28" s="22" t="str">
        <f>Raw!B26</f>
        <v>Sales</v>
      </c>
      <c r="C28" s="22" t="str">
        <f>Raw!C26</f>
        <v>Priya</v>
      </c>
      <c r="D28" s="22" t="str">
        <f>Raw!D26</f>
        <v>Annual</v>
      </c>
      <c r="E28" s="23">
        <f>Raw!E26</f>
        <v>0</v>
      </c>
      <c r="F28" s="23">
        <f>Raw!F26</f>
        <v>3200</v>
      </c>
      <c r="G28" s="23">
        <f>Raw!G26</f>
        <v>0</v>
      </c>
      <c r="H28" s="23">
        <f t="shared" si="0"/>
        <v>3200</v>
      </c>
      <c r="I28" s="23">
        <f t="shared" si="1"/>
        <v>1066.6666666666667</v>
      </c>
      <c r="J28" s="24">
        <f>IF(Raw!H26="","",Raw!H26)</f>
        <v>2</v>
      </c>
      <c r="K28" s="24">
        <f>IF(Raw!I26="","",Raw!I26)</f>
        <v>2</v>
      </c>
      <c r="L28" s="23">
        <f>Inputs!B13/12/J28</f>
        <v>66.666666666666671</v>
      </c>
      <c r="M28" s="23">
        <f>Inputs!B13/12/K28</f>
        <v>66.666666666666671</v>
      </c>
      <c r="N28" s="25">
        <f t="shared" si="4"/>
        <v>0</v>
      </c>
      <c r="O28" s="26">
        <f>IF(Raw!J26="Monthly","Monthly",DATE(LEFT(Raw!J26,4),MID(Raw!J26,6,2),RIGHT(Raw!J26,2)))</f>
        <v>46604</v>
      </c>
      <c r="P28" s="22" t="str">
        <f>IF(COUNTIF(Inputs!$A$20:$A$24,A28)&gt;0,"Yes","No")</f>
        <v>No</v>
      </c>
      <c r="Q28" s="22" t="s">
        <v>169</v>
      </c>
      <c r="R28" s="22" t="s">
        <v>198</v>
      </c>
      <c r="S28" s="22" t="s">
        <v>202</v>
      </c>
      <c r="T28" s="22" t="s">
        <v>203</v>
      </c>
      <c r="U28" s="22" t="s">
        <v>51</v>
      </c>
      <c r="V28" s="26">
        <f>DATE(2026,10,23)</f>
        <v>46318</v>
      </c>
      <c r="W28" s="22" t="s">
        <v>147</v>
      </c>
      <c r="X28" s="25">
        <v>0</v>
      </c>
      <c r="Y28" s="23">
        <f t="shared" si="5"/>
        <v>0</v>
      </c>
      <c r="Z28" s="23">
        <f>Y28*Inputs!$B$12</f>
        <v>0</v>
      </c>
      <c r="AA28" s="22" t="str">
        <f t="shared" si="6"/>
        <v>-</v>
      </c>
      <c r="AB28" s="23">
        <f>F28-Inputs!B13</f>
        <v>1600</v>
      </c>
    </row>
    <row r="29" spans="1:28" ht="38.25" x14ac:dyDescent="0.2">
      <c r="A29" s="22" t="str">
        <f>Raw!A27</f>
        <v>Hootsuite</v>
      </c>
      <c r="B29" s="22" t="str">
        <f>Raw!B27</f>
        <v>Social media</v>
      </c>
      <c r="C29" s="22" t="str">
        <f>Raw!C27</f>
        <v>Marketing</v>
      </c>
      <c r="D29" s="22" t="str">
        <f>Raw!D27</f>
        <v>Annual prepaid</v>
      </c>
      <c r="E29" s="23">
        <f>Raw!E27</f>
        <v>249</v>
      </c>
      <c r="F29" s="23">
        <f>Raw!F27</f>
        <v>249</v>
      </c>
      <c r="G29" s="23">
        <f>Raw!G27</f>
        <v>249</v>
      </c>
      <c r="H29" s="23">
        <f t="shared" si="0"/>
        <v>747</v>
      </c>
      <c r="I29" s="23">
        <f t="shared" si="1"/>
        <v>249</v>
      </c>
      <c r="J29" s="24" t="str">
        <f>IF(Raw!H27="","",Raw!H27)</f>
        <v/>
      </c>
      <c r="K29" s="24" t="str">
        <f>IF(Raw!I27="","",Raw!I27)</f>
        <v/>
      </c>
      <c r="L29" s="23" t="str">
        <f>IF(J29="","",G29/J29)</f>
        <v/>
      </c>
      <c r="M29" s="23" t="str">
        <f>IF(OR(K29="",K29=0),"n/a",I29/K29)</f>
        <v>n/a</v>
      </c>
      <c r="N29" s="25" t="str">
        <f t="shared" si="4"/>
        <v/>
      </c>
      <c r="O29" s="26">
        <f>IF(Raw!J27="Monthly","Monthly",DATE(LEFT(Raw!J27,4),MID(Raw!J27,6,2),RIGHT(Raw!J27,2)))</f>
        <v>46402</v>
      </c>
      <c r="P29" s="22" t="str">
        <f>IF(COUNTIF(Inputs!$A$20:$A$24,A29)&gt;0,"Yes","No")</f>
        <v>No</v>
      </c>
      <c r="Q29" s="22" t="s">
        <v>169</v>
      </c>
      <c r="R29" s="22" t="s">
        <v>198</v>
      </c>
      <c r="S29" s="22" t="s">
        <v>204</v>
      </c>
      <c r="T29" s="22" t="s">
        <v>345</v>
      </c>
      <c r="U29" s="22" t="s">
        <v>51</v>
      </c>
      <c r="V29" s="26">
        <f>DATE(2026,10,23)</f>
        <v>46318</v>
      </c>
      <c r="W29" s="22" t="s">
        <v>201</v>
      </c>
      <c r="X29" s="25">
        <v>0</v>
      </c>
      <c r="Y29" s="23">
        <f t="shared" si="5"/>
        <v>249</v>
      </c>
      <c r="Z29" s="23">
        <f>Y29*Inputs!$B$12</f>
        <v>2988</v>
      </c>
      <c r="AA29" s="22" t="str">
        <f t="shared" si="6"/>
        <v>$249.00/mo (Sep) × 12</v>
      </c>
      <c r="AB29" s="23">
        <f>SUM(E29:G29)</f>
        <v>747</v>
      </c>
    </row>
    <row r="30" spans="1:28" x14ac:dyDescent="0.2">
      <c r="A30" s="22" t="str">
        <f>Raw!A28</f>
        <v>Expensify</v>
      </c>
      <c r="B30" s="22" t="str">
        <f>Raw!B28</f>
        <v>Expenses</v>
      </c>
      <c r="C30" s="22" t="str">
        <f>Raw!C28</f>
        <v>Tom</v>
      </c>
      <c r="D30" s="22" t="str">
        <f>Raw!D28</f>
        <v>Monthly</v>
      </c>
      <c r="E30" s="23">
        <f>Raw!E28</f>
        <v>150</v>
      </c>
      <c r="F30" s="23">
        <f>Raw!F28</f>
        <v>150</v>
      </c>
      <c r="G30" s="23">
        <f>Raw!G28</f>
        <v>150</v>
      </c>
      <c r="H30" s="23">
        <f t="shared" si="0"/>
        <v>450</v>
      </c>
      <c r="I30" s="23">
        <f t="shared" si="1"/>
        <v>150</v>
      </c>
      <c r="J30" s="24">
        <f>IF(Raw!H28="","",Raw!H28)</f>
        <v>30</v>
      </c>
      <c r="K30" s="24">
        <f>IF(Raw!I28="","",Raw!I28)</f>
        <v>30</v>
      </c>
      <c r="L30" s="23">
        <f>IF(J30="","",G30/J30)</f>
        <v>5</v>
      </c>
      <c r="M30" s="23">
        <f>IF(OR(K30="",K30=0),"n/a",I30/K30)</f>
        <v>5</v>
      </c>
      <c r="N30" s="25">
        <f t="shared" si="4"/>
        <v>0</v>
      </c>
      <c r="O30" s="26" t="str">
        <f>IF(Raw!J28="Monthly","Monthly",DATE(LEFT(Raw!J28,4),MID(Raw!J28,6,2),RIGHT(Raw!J28,2)))</f>
        <v>Monthly</v>
      </c>
      <c r="P30" s="22" t="str">
        <f>IF(COUNTIF(Inputs!$A$20:$A$24,A30)&gt;0,"Yes","No")</f>
        <v>No</v>
      </c>
      <c r="Q30" s="22" t="s">
        <v>169</v>
      </c>
      <c r="R30" s="22" t="s">
        <v>144</v>
      </c>
      <c r="S30" s="22" t="s">
        <v>205</v>
      </c>
      <c r="T30" s="22" t="s">
        <v>181</v>
      </c>
      <c r="U30" s="22" t="s">
        <v>51</v>
      </c>
      <c r="V30" s="26"/>
      <c r="W30" s="22" t="s">
        <v>147</v>
      </c>
      <c r="X30" s="25">
        <v>0</v>
      </c>
      <c r="Y30" s="23">
        <f t="shared" si="5"/>
        <v>0</v>
      </c>
      <c r="Z30" s="23">
        <f>Y30*Inputs!$B$12</f>
        <v>0</v>
      </c>
      <c r="AA30" s="22" t="str">
        <f t="shared" si="6"/>
        <v>-</v>
      </c>
      <c r="AB30" s="23">
        <v>0</v>
      </c>
    </row>
    <row r="31" spans="1:28" x14ac:dyDescent="0.2">
      <c r="A31" s="27" t="s">
        <v>206</v>
      </c>
      <c r="B31" s="27"/>
      <c r="C31" s="27"/>
      <c r="D31" s="27"/>
      <c r="E31" s="28">
        <f>SUM(E6:E30)</f>
        <v>8888.11</v>
      </c>
      <c r="F31" s="28">
        <f>SUM(F6:F30)</f>
        <v>12088.11</v>
      </c>
      <c r="G31" s="28">
        <f>SUM(G6:G30)</f>
        <v>9113.11</v>
      </c>
      <c r="H31" s="28">
        <f>SUM(H6:H30)</f>
        <v>30089.33</v>
      </c>
      <c r="I31" s="28">
        <f>SUM(I6:I30)</f>
        <v>10029.776666666667</v>
      </c>
      <c r="J31" s="27"/>
      <c r="K31" s="27"/>
      <c r="L31" s="28"/>
      <c r="M31" s="28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8">
        <f>SUM(Y6:Y30)</f>
        <v>1550.1100000000001</v>
      </c>
      <c r="Z31" s="28">
        <f>SUM(Z6:Z30)</f>
        <v>18601.32</v>
      </c>
      <c r="AA31" s="27"/>
      <c r="AB31" s="28">
        <f>SUM(AB6:AB30)</f>
        <v>2707</v>
      </c>
    </row>
  </sheetData>
  <conditionalFormatting sqref="R6:R30">
    <cfRule type="containsText" dxfId="4" priority="1" operator="containsText" text="Billing error">
      <formula>NOT(ISERROR(SEARCH("Billing error",R6)))</formula>
    </cfRule>
    <cfRule type="containsText" dxfId="3" priority="2" operator="containsText" text="Unused seats">
      <formula>NOT(ISERROR(SEARCH("Unused seats",R6)))</formula>
    </cfRule>
    <cfRule type="containsText" dxfId="2" priority="3" operator="containsText" text="Duplicate tool">
      <formula>NOT(ISERROR(SEARCH("Duplicate tool",R6)))</formula>
    </cfRule>
    <cfRule type="containsText" dxfId="1" priority="4" operator="containsText" text="Renewal risk">
      <formula>NOT(ISERROR(SEARCH("Renewal risk",R6)))</formula>
    </cfRule>
    <cfRule type="containsText" dxfId="0" priority="5" operator="containsText" text="Keep">
      <formula>NOT(ISERROR(SEARCH("Keep",R6)))</formula>
    </cfRule>
  </conditionalFormatting>
  <pageMargins left="0.7" right="0.7" top="0.75" bottom="0.75" header="0.3" footer="0.3"/>
  <pageSetup paperSize="0" fitToHeight="0" orientation="landscape" horizontalDpi="0" verticalDpi="0" copies="0"/>
  <headerFooter>
    <oddHeader>&amp;CWork sample — fictional scenario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4772-3B47-43D1-91C9-B8201D67A363}">
  <sheetPr>
    <pageSetUpPr fitToPage="1"/>
  </sheetPr>
  <dimension ref="A1:H50"/>
  <sheetViews>
    <sheetView topLeftCell="A17" workbookViewId="0">
      <selection activeCell="D25" sqref="D25"/>
    </sheetView>
  </sheetViews>
  <sheetFormatPr defaultRowHeight="12.75" x14ac:dyDescent="0.2"/>
  <cols>
    <col min="1" max="1" width="10.5703125" style="2" customWidth="1"/>
    <col min="2" max="2" width="42.85546875" style="2" customWidth="1"/>
    <col min="3" max="3" width="15.5703125" style="2" customWidth="1"/>
    <col min="4" max="4" width="47.28515625" style="2" bestFit="1" customWidth="1"/>
    <col min="5" max="5" width="24.28515625" style="2" bestFit="1" customWidth="1"/>
    <col min="6" max="6" width="11.5703125" style="2" bestFit="1" customWidth="1"/>
    <col min="7" max="7" width="13.28515625" style="2" bestFit="1" customWidth="1"/>
    <col min="8" max="8" width="14.28515625" style="2" bestFit="1" customWidth="1"/>
    <col min="9" max="16384" width="9.140625" style="2"/>
  </cols>
  <sheetData>
    <row r="1" spans="1:8" x14ac:dyDescent="0.2">
      <c r="A1" s="1" t="s">
        <v>341</v>
      </c>
    </row>
    <row r="3" spans="1:8" x14ac:dyDescent="0.2">
      <c r="A3" s="8" t="s">
        <v>346</v>
      </c>
    </row>
    <row r="5" spans="1:8" ht="25.5" x14ac:dyDescent="0.2">
      <c r="A5" s="29" t="s">
        <v>208</v>
      </c>
      <c r="B5" s="29" t="s">
        <v>0</v>
      </c>
      <c r="C5" s="29" t="s">
        <v>132</v>
      </c>
      <c r="D5" s="29" t="s">
        <v>239</v>
      </c>
      <c r="E5" s="29" t="s">
        <v>141</v>
      </c>
      <c r="F5" s="29" t="s">
        <v>140</v>
      </c>
      <c r="G5" s="29" t="s">
        <v>240</v>
      </c>
      <c r="H5" s="29" t="s">
        <v>2</v>
      </c>
    </row>
    <row r="6" spans="1:8" ht="25.5" x14ac:dyDescent="0.2">
      <c r="A6" s="10">
        <v>1</v>
      </c>
      <c r="B6" s="30" t="str">
        <f>Analysis!A7</f>
        <v>Google Workspace</v>
      </c>
      <c r="C6" s="30" t="str">
        <f>Analysis!R7</f>
        <v>Duplicate tool</v>
      </c>
      <c r="D6" s="30" t="str">
        <f>Analysis!T7</f>
        <v>Migrate the 3 active users' mail and Drive files to M365, then cancel all 12 seats (monthly plan).</v>
      </c>
      <c r="E6" s="30" t="str">
        <f>Analysis!AA7</f>
        <v>$168.00/mo (Sep) × 12</v>
      </c>
      <c r="F6" s="31">
        <f>Analysis!Z7</f>
        <v>2016</v>
      </c>
      <c r="G6" s="30" t="s">
        <v>241</v>
      </c>
      <c r="H6" s="30" t="str">
        <f>Analysis!U7</f>
        <v>Marketing lead + Marcus</v>
      </c>
    </row>
    <row r="7" spans="1:8" ht="25.5" x14ac:dyDescent="0.2">
      <c r="A7" s="10">
        <v>2</v>
      </c>
      <c r="B7" s="30" t="str">
        <f>Analysis!A8</f>
        <v>Zoom Pro</v>
      </c>
      <c r="C7" s="30" t="str">
        <f>Analysis!R8</f>
        <v>Duplicate (renewal-dated)</v>
      </c>
      <c r="D7" s="30" t="str">
        <f>Analysis!T8</f>
        <v>Turn off auto-renew before 1 Nov; move the 2 users and any recurring meeting links to Teams.</v>
      </c>
      <c r="E7" s="30" t="str">
        <f>Analysis!AA8</f>
        <v>$159.90/mo (Sep) × 12</v>
      </c>
      <c r="F7" s="31">
        <f>Analysis!Z8</f>
        <v>1918.8000000000002</v>
      </c>
      <c r="G7" s="30" t="s">
        <v>242</v>
      </c>
      <c r="H7" s="30" t="str">
        <f>Analysis!U8</f>
        <v>Marketing lead</v>
      </c>
    </row>
    <row r="8" spans="1:8" ht="25.5" x14ac:dyDescent="0.2">
      <c r="A8" s="10">
        <v>3</v>
      </c>
      <c r="B8" s="30" t="str">
        <f>Analysis!A9</f>
        <v>Slack Pro</v>
      </c>
      <c r="C8" s="30" t="str">
        <f>Analysis!R9</f>
        <v>Unused seats</v>
      </c>
      <c r="D8" s="30" t="str">
        <f>Analysis!T9</f>
        <v>Remove 3 unused seats at next monthly bill. Review moving to Teams after 15 Jan (not counted in savings).</v>
      </c>
      <c r="E8" s="30" t="str">
        <f>Analysis!AA9</f>
        <v>3 seats × $8.75 × 12</v>
      </c>
      <c r="F8" s="31">
        <f>Analysis!Z9</f>
        <v>315</v>
      </c>
      <c r="G8" s="30" t="s">
        <v>243</v>
      </c>
      <c r="H8" s="30" t="str">
        <f>Analysis!U9</f>
        <v>Marcus</v>
      </c>
    </row>
    <row r="9" spans="1:8" ht="25.5" x14ac:dyDescent="0.2">
      <c r="A9" s="10">
        <v>4</v>
      </c>
      <c r="B9" s="30" t="str">
        <f>Analysis!A10</f>
        <v>Asana Premium</v>
      </c>
      <c r="C9" s="30" t="str">
        <f>Analysis!R10</f>
        <v>Unused seats</v>
      </c>
      <c r="D9" s="30" t="str">
        <f>Analysis!T10</f>
        <v>Remove 2 unused seats; keep 1 spare for the Monday.com user moving across.</v>
      </c>
      <c r="E9" s="30" t="str">
        <f>Analysis!AA10</f>
        <v>2 seats × $10.99 × 12</v>
      </c>
      <c r="F9" s="31">
        <f>Analysis!Z10</f>
        <v>263.76</v>
      </c>
      <c r="G9" s="30" t="s">
        <v>243</v>
      </c>
      <c r="H9" s="30" t="str">
        <f>Analysis!U10</f>
        <v>Marcus</v>
      </c>
    </row>
    <row r="10" spans="1:8" ht="25.5" x14ac:dyDescent="0.2">
      <c r="A10" s="10">
        <v>5</v>
      </c>
      <c r="B10" s="30" t="str">
        <f>Analysis!A11</f>
        <v>Monday.com Standard</v>
      </c>
      <c r="C10" s="30" t="str">
        <f>Analysis!R11</f>
        <v>Duplicate (renewal-dated)</v>
      </c>
      <c r="D10" s="30" t="str">
        <f>Analysis!T11</f>
        <v>Turn off auto-renew before 15 Nov; export the active user's boards to Asana.</v>
      </c>
      <c r="E10" s="30" t="str">
        <f>Analysis!AA11</f>
        <v>$120.00/mo (Sep) × 12</v>
      </c>
      <c r="F10" s="31">
        <f>Analysis!Z11</f>
        <v>1440</v>
      </c>
      <c r="G10" s="30" t="s">
        <v>244</v>
      </c>
      <c r="H10" s="30" t="str">
        <f>Analysis!U11</f>
        <v>Sales lead</v>
      </c>
    </row>
    <row r="11" spans="1:8" ht="25.5" x14ac:dyDescent="0.2">
      <c r="A11" s="10">
        <v>6</v>
      </c>
      <c r="B11" s="30" t="str">
        <f>Analysis!A15</f>
        <v>Canva Teams</v>
      </c>
      <c r="C11" s="30" t="str">
        <f>Analysis!R15</f>
        <v>Unused seats</v>
      </c>
      <c r="D11" s="30" t="str">
        <f>Analysis!T15</f>
        <v>Remove 4 unused seats at next monthly bill.</v>
      </c>
      <c r="E11" s="30" t="str">
        <f>Analysis!AA15</f>
        <v>4 seats × $10.00 × 12</v>
      </c>
      <c r="F11" s="31">
        <f>Analysis!Z15</f>
        <v>480</v>
      </c>
      <c r="G11" s="30" t="s">
        <v>243</v>
      </c>
      <c r="H11" s="30" t="str">
        <f>Analysis!U15</f>
        <v>Marketing lead</v>
      </c>
    </row>
    <row r="12" spans="1:8" ht="38.25" x14ac:dyDescent="0.2">
      <c r="A12" s="10">
        <v>7</v>
      </c>
      <c r="B12" s="30" t="str">
        <f>Analysis!A16</f>
        <v>Adobe Creative Cloud</v>
      </c>
      <c r="C12" s="30" t="str">
        <f>Analysis!R16</f>
        <v>Renewal risk</v>
      </c>
      <c r="D12" s="30" t="str">
        <f>Analysis!T16</f>
        <v>Remove the leaver's access now. At the 12 Dec renewal reduce from 4 to 2 seats (annual plan can't be cut mid-term).</v>
      </c>
      <c r="E12" s="30" t="str">
        <f>Analysis!AA16</f>
        <v>2 seats × $59.99 × 12</v>
      </c>
      <c r="F12" s="31">
        <f>Analysis!Z16</f>
        <v>1439.76</v>
      </c>
      <c r="G12" s="30" t="s">
        <v>245</v>
      </c>
      <c r="H12" s="30" t="str">
        <f>Analysis!U16</f>
        <v>Marketing lead</v>
      </c>
    </row>
    <row r="13" spans="1:8" ht="25.5" x14ac:dyDescent="0.2">
      <c r="A13" s="10">
        <v>8</v>
      </c>
      <c r="B13" s="30" t="str">
        <f>Analysis!A21</f>
        <v>Loom Business</v>
      </c>
      <c r="C13" s="30" t="str">
        <f>Analysis!R21</f>
        <v>Unused seats</v>
      </c>
      <c r="D13" s="30" t="str">
        <f>Analysis!T21</f>
        <v>Remove 11 unused seats at next monthly bill; keep 4 for current users.</v>
      </c>
      <c r="E13" s="30" t="str">
        <f>Analysis!AA21</f>
        <v>11 seats × $15.00 × 12</v>
      </c>
      <c r="F13" s="31">
        <f>Analysis!Z21</f>
        <v>1980</v>
      </c>
      <c r="G13" s="30" t="s">
        <v>243</v>
      </c>
      <c r="H13" s="30" t="str">
        <f>Analysis!U21</f>
        <v>Marketing lead</v>
      </c>
    </row>
    <row r="14" spans="1:8" ht="25.5" x14ac:dyDescent="0.2">
      <c r="A14" s="10">
        <v>9</v>
      </c>
      <c r="B14" s="30" t="str">
        <f>Analysis!A22</f>
        <v>Dropbox Business</v>
      </c>
      <c r="C14" s="30" t="str">
        <f>Analysis!R22</f>
        <v>Duplicate (renewal-dated)</v>
      </c>
      <c r="D14" s="30" t="str">
        <f>Analysis!T22</f>
        <v>Confirm with the 5 active users that nothing is left un-migrated, then turn off auto-renew before 30 Nov.</v>
      </c>
      <c r="E14" s="30" t="str">
        <f>Analysis!AA22</f>
        <v>$300.00/mo (Sep) × 12</v>
      </c>
      <c r="F14" s="31">
        <f>Analysis!Z22</f>
        <v>3600</v>
      </c>
      <c r="G14" s="30" t="s">
        <v>246</v>
      </c>
      <c r="H14" s="30" t="str">
        <f>Analysis!U22</f>
        <v>Marcus</v>
      </c>
    </row>
    <row r="15" spans="1:8" ht="25.5" x14ac:dyDescent="0.2">
      <c r="A15" s="10">
        <v>10</v>
      </c>
      <c r="B15" s="30" t="str">
        <f>Analysis!A25</f>
        <v>Grammarly Business</v>
      </c>
      <c r="C15" s="30" t="str">
        <f>Analysis!R25</f>
        <v>Unused seats</v>
      </c>
      <c r="D15" s="30" t="str">
        <f>Analysis!T25</f>
        <v>Remove 4 unused seats at next monthly bill.</v>
      </c>
      <c r="E15" s="30" t="str">
        <f>Analysis!AA25</f>
        <v>4 seats × $15.00 × 12</v>
      </c>
      <c r="F15" s="31">
        <f>Analysis!Z25</f>
        <v>720</v>
      </c>
      <c r="G15" s="30" t="s">
        <v>243</v>
      </c>
      <c r="H15" s="30" t="str">
        <f>Analysis!U25</f>
        <v>Marketing lead</v>
      </c>
    </row>
    <row r="16" spans="1:8" ht="25.5" x14ac:dyDescent="0.2">
      <c r="A16" s="10">
        <v>11</v>
      </c>
      <c r="B16" s="30" t="str">
        <f>Analysis!A27</f>
        <v>Notion Plus</v>
      </c>
      <c r="C16" s="30" t="str">
        <f>Analysis!R27</f>
        <v>Billing error</v>
      </c>
      <c r="D16" s="30" t="str">
        <f>Analysis!T27</f>
        <v>Tom to dispute and request a refund of $360; confirm no further charges.</v>
      </c>
      <c r="E16" s="30" t="str">
        <f>Analysis!AA27</f>
        <v>$120.00/mo (Sep) × 12</v>
      </c>
      <c r="F16" s="31">
        <f>Analysis!Z27</f>
        <v>1440</v>
      </c>
      <c r="G16" s="30" t="s">
        <v>247</v>
      </c>
      <c r="H16" s="30" t="str">
        <f>Analysis!U27</f>
        <v>Tom</v>
      </c>
    </row>
    <row r="17" spans="1:8" ht="38.25" x14ac:dyDescent="0.2">
      <c r="A17" s="10">
        <v>12</v>
      </c>
      <c r="B17" s="30" t="str">
        <f>Analysis!A29</f>
        <v>Hootsuite</v>
      </c>
      <c r="C17" s="30" t="str">
        <f>Analysis!R29</f>
        <v>Billing error</v>
      </c>
      <c r="D17" s="30" t="str">
        <f>Analysis!T29</f>
        <v>Tom to dispute the $747 and stop the monthly charge; check February to June statements for more. Plan renews 15 Jan 2027.</v>
      </c>
      <c r="E17" s="30" t="str">
        <f>Analysis!AA29</f>
        <v>$249.00/mo (Sep) × 12</v>
      </c>
      <c r="F17" s="31">
        <f>Analysis!Z29</f>
        <v>2988</v>
      </c>
      <c r="G17" s="30" t="s">
        <v>247</v>
      </c>
      <c r="H17" s="30" t="str">
        <f>Analysis!U29</f>
        <v>Tom</v>
      </c>
    </row>
    <row r="18" spans="1:8" x14ac:dyDescent="0.2">
      <c r="A18" s="32"/>
      <c r="B18" s="33" t="s">
        <v>347</v>
      </c>
      <c r="C18" s="33"/>
      <c r="D18" s="33"/>
      <c r="E18" s="33"/>
      <c r="F18" s="54">
        <f>SUM(F6:F17)</f>
        <v>18601.32</v>
      </c>
      <c r="G18" s="32"/>
      <c r="H18" s="32"/>
    </row>
    <row r="19" spans="1:8" x14ac:dyDescent="0.2">
      <c r="A19" s="34"/>
      <c r="B19" s="36" t="s">
        <v>348</v>
      </c>
      <c r="C19" s="36"/>
      <c r="D19" s="36"/>
      <c r="E19" s="36"/>
      <c r="F19" s="55">
        <f>F18-SUMIFS(F6:F17,C6:C17,"Billing error")</f>
        <v>14173.32</v>
      </c>
      <c r="G19" s="34"/>
      <c r="H19" s="34"/>
    </row>
    <row r="20" spans="1:8" x14ac:dyDescent="0.2">
      <c r="A20" s="36"/>
      <c r="B20" s="36" t="s">
        <v>248</v>
      </c>
      <c r="C20" s="34"/>
      <c r="D20" s="34"/>
      <c r="E20" s="34"/>
      <c r="F20" s="35"/>
      <c r="G20" s="34"/>
      <c r="H20" s="34"/>
    </row>
    <row r="21" spans="1:8" x14ac:dyDescent="0.2">
      <c r="A21" s="34"/>
      <c r="B21" s="34" t="s">
        <v>249</v>
      </c>
      <c r="C21" s="52">
        <f>F18</f>
        <v>18601.32</v>
      </c>
      <c r="D21" s="34"/>
      <c r="E21" s="34"/>
      <c r="F21" s="35"/>
      <c r="G21" s="34"/>
      <c r="H21" s="34"/>
    </row>
    <row r="22" spans="1:8" x14ac:dyDescent="0.2">
      <c r="A22" s="34"/>
      <c r="B22" s="34" t="s">
        <v>250</v>
      </c>
      <c r="C22" s="52">
        <f>Analysis!Z31</f>
        <v>18601.32</v>
      </c>
      <c r="D22" s="34"/>
      <c r="E22" s="34"/>
      <c r="F22" s="35"/>
      <c r="G22" s="34"/>
      <c r="H22" s="34"/>
    </row>
    <row r="23" spans="1:8" x14ac:dyDescent="0.2">
      <c r="A23" s="34"/>
      <c r="B23" s="34" t="s">
        <v>251</v>
      </c>
      <c r="C23" s="52">
        <f>SUMIFS(Analysis!$Z$6:$Z$30,Analysis!$R$6:$R$30,"Billing error")</f>
        <v>4428</v>
      </c>
      <c r="D23" s="34"/>
      <c r="E23" s="34"/>
      <c r="F23" s="35"/>
      <c r="G23" s="34"/>
      <c r="H23" s="34"/>
    </row>
    <row r="24" spans="1:8" x14ac:dyDescent="0.2">
      <c r="A24" s="34"/>
      <c r="B24" s="34" t="s">
        <v>252</v>
      </c>
      <c r="C24" s="52">
        <f>SUMIFS(Analysis!$Z$6:$Z$30,Analysis!$R$6:$R$30,"Unused seats")</f>
        <v>3758.76</v>
      </c>
      <c r="D24" s="34"/>
      <c r="E24" s="34"/>
      <c r="F24" s="35"/>
      <c r="G24" s="34"/>
      <c r="H24" s="34"/>
    </row>
    <row r="25" spans="1:8" x14ac:dyDescent="0.2">
      <c r="A25" s="34"/>
      <c r="B25" s="34" t="s">
        <v>349</v>
      </c>
      <c r="C25" s="52">
        <f>SUMIFS(Analysis!$Z$6:$Z$30,Analysis!$R$6:$R$30,"Duplicate*")</f>
        <v>8974.7999999999993</v>
      </c>
      <c r="D25" s="34"/>
      <c r="E25" s="34"/>
      <c r="F25" s="35"/>
      <c r="G25" s="34"/>
      <c r="H25" s="34"/>
    </row>
    <row r="26" spans="1:8" x14ac:dyDescent="0.2">
      <c r="A26" s="34"/>
      <c r="B26" s="34" t="s">
        <v>253</v>
      </c>
      <c r="C26" s="52">
        <f>SUMIFS(Analysis!$Z$6:$Z$30,Analysis!$R$6:$R$30,"Renewal risk")</f>
        <v>1439.76</v>
      </c>
      <c r="D26" s="34"/>
      <c r="E26" s="34"/>
      <c r="F26" s="35"/>
      <c r="G26" s="34"/>
      <c r="H26" s="34"/>
    </row>
    <row r="27" spans="1:8" x14ac:dyDescent="0.2">
      <c r="A27" s="34"/>
      <c r="B27" s="34" t="s">
        <v>254</v>
      </c>
      <c r="C27" s="52">
        <f>SUM(C23:C26)</f>
        <v>18601.319999999996</v>
      </c>
      <c r="D27" s="34"/>
      <c r="E27" s="34"/>
      <c r="F27" s="35"/>
      <c r="G27" s="34"/>
      <c r="H27" s="34"/>
    </row>
    <row r="28" spans="1:8" x14ac:dyDescent="0.2">
      <c r="A28" s="34"/>
      <c r="B28" s="34" t="s">
        <v>255</v>
      </c>
      <c r="C28" s="34" t="str">
        <f>IF(AND(ROUND(C21-C22,2)=0,ROUND(C21-C27,2)=0),"OK – ties","ERROR")</f>
        <v>OK – ties</v>
      </c>
      <c r="D28" s="34"/>
      <c r="E28" s="34"/>
      <c r="F28" s="35"/>
      <c r="G28" s="34"/>
      <c r="H28" s="34"/>
    </row>
    <row r="29" spans="1:8" x14ac:dyDescent="0.2">
      <c r="A29" s="34"/>
      <c r="B29" s="34"/>
      <c r="C29" s="34"/>
      <c r="D29" s="34"/>
      <c r="E29" s="34"/>
      <c r="F29" s="35"/>
      <c r="G29" s="34"/>
      <c r="H29" s="34"/>
    </row>
    <row r="30" spans="1:8" x14ac:dyDescent="0.2">
      <c r="A30" s="34"/>
      <c r="B30" s="34" t="s">
        <v>256</v>
      </c>
      <c r="C30" s="52">
        <f>Inputs!B10</f>
        <v>12000</v>
      </c>
      <c r="D30" s="34"/>
      <c r="E30" s="34"/>
      <c r="F30" s="35"/>
      <c r="G30" s="34"/>
      <c r="H30" s="34"/>
    </row>
    <row r="31" spans="1:8" x14ac:dyDescent="0.2">
      <c r="A31" s="34"/>
      <c r="B31" s="34" t="s">
        <v>350</v>
      </c>
      <c r="C31" s="52">
        <f>C32-C30</f>
        <v>2173.3199999999997</v>
      </c>
      <c r="D31" s="34"/>
      <c r="E31" s="34"/>
      <c r="F31" s="35"/>
      <c r="G31" s="34"/>
      <c r="H31" s="34"/>
    </row>
    <row r="32" spans="1:8" x14ac:dyDescent="0.2">
      <c r="A32" s="34"/>
      <c r="B32" s="34" t="s">
        <v>257</v>
      </c>
      <c r="C32" s="52">
        <f>C21-C23</f>
        <v>14173.32</v>
      </c>
      <c r="D32" s="34"/>
      <c r="E32" s="34"/>
      <c r="F32" s="35"/>
      <c r="G32" s="34"/>
      <c r="H32" s="34"/>
    </row>
    <row r="33" spans="1:8" x14ac:dyDescent="0.2">
      <c r="A33" s="34"/>
      <c r="B33" s="34" t="s">
        <v>258</v>
      </c>
      <c r="C33" s="53">
        <f>SUMIFS(Analysis!$Z$6:$Z$30,Analysis!$P$6:$P$30,"Yes")</f>
        <v>0</v>
      </c>
      <c r="D33" s="34"/>
      <c r="E33" s="34"/>
      <c r="F33" s="35"/>
      <c r="G33" s="34"/>
      <c r="H33" s="34"/>
    </row>
    <row r="34" spans="1:8" x14ac:dyDescent="0.2">
      <c r="A34" s="34"/>
      <c r="B34" s="34"/>
      <c r="C34" s="34"/>
      <c r="D34" s="34"/>
      <c r="E34" s="34"/>
      <c r="F34" s="34"/>
      <c r="G34" s="34"/>
      <c r="H34" s="34"/>
    </row>
    <row r="35" spans="1:8" x14ac:dyDescent="0.2">
      <c r="A35" s="36"/>
      <c r="B35" s="34" t="s">
        <v>259</v>
      </c>
      <c r="C35" s="34"/>
      <c r="D35" s="34"/>
      <c r="E35" s="34"/>
      <c r="F35" s="34"/>
      <c r="G35" s="34"/>
      <c r="H35" s="34"/>
    </row>
    <row r="36" spans="1:8" x14ac:dyDescent="0.2">
      <c r="A36" s="36"/>
      <c r="B36" s="34"/>
      <c r="C36" s="34"/>
      <c r="D36" s="34"/>
      <c r="E36" s="34"/>
      <c r="F36" s="34"/>
      <c r="G36" s="34"/>
      <c r="H36" s="34"/>
    </row>
    <row r="37" spans="1:8" x14ac:dyDescent="0.2">
      <c r="A37" s="37" t="s">
        <v>208</v>
      </c>
      <c r="B37" s="37" t="s">
        <v>0</v>
      </c>
      <c r="C37" s="37" t="s">
        <v>132</v>
      </c>
      <c r="D37" s="37" t="s">
        <v>260</v>
      </c>
      <c r="E37" s="37" t="s">
        <v>141</v>
      </c>
      <c r="F37" s="37" t="s">
        <v>261</v>
      </c>
      <c r="G37" s="37" t="s">
        <v>262</v>
      </c>
      <c r="H37" s="37" t="s">
        <v>2</v>
      </c>
    </row>
    <row r="38" spans="1:8" ht="25.5" x14ac:dyDescent="0.2">
      <c r="A38" s="10">
        <v>1</v>
      </c>
      <c r="B38" s="10" t="str">
        <f>Analysis!A27</f>
        <v>Notion Plus</v>
      </c>
      <c r="C38" s="10" t="str">
        <f>Analysis!R27</f>
        <v>Billing error</v>
      </c>
      <c r="D38" s="10" t="str">
        <f>Analysis!S27</f>
        <v>Vendor confirmed cancellation by email on 30 Jun, but $120 was charged in Jul, Aug and Sep. 0 active users.</v>
      </c>
      <c r="E38" s="10" t="s">
        <v>263</v>
      </c>
      <c r="F38" s="38">
        <f>Analysis!AB27</f>
        <v>360</v>
      </c>
      <c r="G38" s="39">
        <f>Analysis!V27</f>
        <v>46318</v>
      </c>
      <c r="H38" s="10" t="s">
        <v>51</v>
      </c>
    </row>
    <row r="39" spans="1:8" ht="25.5" x14ac:dyDescent="0.2">
      <c r="A39" s="10">
        <v>2</v>
      </c>
      <c r="B39" s="10" t="str">
        <f>Analysis!A28</f>
        <v>LinkedIn Sales Navigator</v>
      </c>
      <c r="C39" s="10" t="str">
        <f>Analysis!R28</f>
        <v>Billing error</v>
      </c>
      <c r="D39" s="10" t="str">
        <f>Analysis!S28</f>
        <v>Annual 2-seat plan is $1,600, but $3,200 was charged in Aug: a $1,600 overcharge (likely a double charge).</v>
      </c>
      <c r="E39" s="10" t="s">
        <v>364</v>
      </c>
      <c r="F39" s="38">
        <f>Analysis!AB28</f>
        <v>1600</v>
      </c>
      <c r="G39" s="39">
        <f>Analysis!V28</f>
        <v>46318</v>
      </c>
      <c r="H39" s="10" t="s">
        <v>51</v>
      </c>
    </row>
    <row r="40" spans="1:8" ht="25.5" x14ac:dyDescent="0.2">
      <c r="A40" s="10">
        <v>3</v>
      </c>
      <c r="B40" s="10" t="str">
        <f>Analysis!A29</f>
        <v>Hootsuite</v>
      </c>
      <c r="C40" s="10" t="str">
        <f>Analysis!R29</f>
        <v>Billing error</v>
      </c>
      <c r="D40" s="10" t="str">
        <f>Analysis!S29</f>
        <v>Contract is $2,388 prepaid in Jan 2026, yet $249/mo was also charged Jul–Sep ($747).</v>
      </c>
      <c r="E40" s="10" t="s">
        <v>264</v>
      </c>
      <c r="F40" s="38">
        <f>Analysis!AB29</f>
        <v>747</v>
      </c>
      <c r="G40" s="39">
        <f>Analysis!V29</f>
        <v>46318</v>
      </c>
      <c r="H40" s="10" t="s">
        <v>51</v>
      </c>
    </row>
    <row r="41" spans="1:8" x14ac:dyDescent="0.2">
      <c r="A41" s="5"/>
      <c r="B41" s="3" t="s">
        <v>265</v>
      </c>
      <c r="C41" s="3"/>
      <c r="D41" s="3"/>
      <c r="E41" s="3"/>
      <c r="F41" s="40">
        <f>SUM(F38:F40)</f>
        <v>2707</v>
      </c>
      <c r="G41" s="5"/>
      <c r="H41" s="5"/>
    </row>
    <row r="42" spans="1:8" x14ac:dyDescent="0.2">
      <c r="A42" s="5"/>
      <c r="B42" s="5" t="s">
        <v>343</v>
      </c>
      <c r="C42" s="5"/>
      <c r="D42" s="5"/>
      <c r="E42" s="5"/>
      <c r="F42" s="5" t="str">
        <f>IF(ROUND(F41-Analysis!AB31,2)=0,"OK – ties","ERROR")</f>
        <v>OK – ties</v>
      </c>
      <c r="G42" s="5"/>
      <c r="H42" s="5"/>
    </row>
    <row r="44" spans="1:8" x14ac:dyDescent="0.2">
      <c r="A44" s="8" t="s">
        <v>266</v>
      </c>
    </row>
    <row r="45" spans="1:8" x14ac:dyDescent="0.2">
      <c r="B45" s="2" t="s">
        <v>267</v>
      </c>
    </row>
    <row r="46" spans="1:8" x14ac:dyDescent="0.2">
      <c r="B46" s="2" t="s">
        <v>268</v>
      </c>
    </row>
    <row r="47" spans="1:8" x14ac:dyDescent="0.2">
      <c r="B47" s="2" t="s">
        <v>269</v>
      </c>
    </row>
    <row r="48" spans="1:8" x14ac:dyDescent="0.2">
      <c r="B48" s="2" t="s">
        <v>270</v>
      </c>
    </row>
    <row r="49" spans="2:2" x14ac:dyDescent="0.2">
      <c r="B49" s="2" t="s">
        <v>271</v>
      </c>
    </row>
    <row r="50" spans="2:2" x14ac:dyDescent="0.2">
      <c r="B50" s="2" t="s">
        <v>272</v>
      </c>
    </row>
  </sheetData>
  <pageMargins left="0.7" right="0.7" top="0.75" bottom="0.75" header="0.3" footer="0.3"/>
  <pageSetup paperSize="0" fitToHeight="0" orientation="landscape" horizontalDpi="0" verticalDpi="0" copies="0"/>
  <headerFooter>
    <oddHeader>&amp;CWork sample — fictional scenario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C4AA-BF47-4292-BF14-FE11596CF51C}">
  <sheetPr>
    <pageSetUpPr fitToPage="1"/>
  </sheetPr>
  <dimension ref="A1:J14"/>
  <sheetViews>
    <sheetView workbookViewId="0">
      <selection activeCell="B21" sqref="B21"/>
    </sheetView>
  </sheetViews>
  <sheetFormatPr defaultRowHeight="12.75" x14ac:dyDescent="0.2"/>
  <cols>
    <col min="1" max="1" width="16.140625" style="2" customWidth="1"/>
    <col min="2" max="2" width="25.5703125" style="2" customWidth="1"/>
    <col min="3" max="3" width="25.42578125" style="2" customWidth="1"/>
    <col min="4" max="4" width="14.28515625" style="2" customWidth="1"/>
    <col min="5" max="5" width="30" style="2" bestFit="1" customWidth="1"/>
    <col min="6" max="7" width="16.140625" style="2" customWidth="1"/>
    <col min="8" max="8" width="11.140625" style="2" bestFit="1" customWidth="1"/>
    <col min="9" max="9" width="17.140625" style="2" customWidth="1"/>
    <col min="10" max="10" width="23.42578125" style="2" customWidth="1"/>
    <col min="11" max="16384" width="9.140625" style="2"/>
  </cols>
  <sheetData>
    <row r="1" spans="1:10" x14ac:dyDescent="0.2">
      <c r="A1" s="1" t="s">
        <v>341</v>
      </c>
    </row>
    <row r="3" spans="1:10" x14ac:dyDescent="0.2">
      <c r="A3" s="8" t="s">
        <v>273</v>
      </c>
    </row>
    <row r="4" spans="1:10" x14ac:dyDescent="0.2">
      <c r="A4" s="41" t="str">
        <f>"Window: "&amp;TEXT(Inputs!B7,"dd mmm yyyy")&amp;" to "&amp;TEXT(Inputs!B8,"dd mmm yyyy")&amp;"; action date = renewal − "&amp;Inputs!B11&amp;" days (confirm notice terms in each contract)"</f>
        <v>Window: 17 Oct 2026 to 14 Jan 2027; action date = renewal − 10 days (confirm notice terms in each contract)</v>
      </c>
    </row>
    <row r="6" spans="1:10" s="43" customFormat="1" ht="25.5" x14ac:dyDescent="0.2">
      <c r="A6" s="42" t="s">
        <v>129</v>
      </c>
      <c r="B6" s="42" t="s">
        <v>0</v>
      </c>
      <c r="C6" s="42" t="s">
        <v>3</v>
      </c>
      <c r="D6" s="42" t="s">
        <v>274</v>
      </c>
      <c r="E6" s="42" t="s">
        <v>275</v>
      </c>
      <c r="F6" s="42" t="s">
        <v>136</v>
      </c>
      <c r="G6" s="42" t="s">
        <v>276</v>
      </c>
      <c r="H6" s="42" t="s">
        <v>2</v>
      </c>
      <c r="I6" s="42" t="s">
        <v>140</v>
      </c>
      <c r="J6" s="42" t="s">
        <v>277</v>
      </c>
    </row>
    <row r="7" spans="1:10" ht="25.5" x14ac:dyDescent="0.2">
      <c r="A7" s="44">
        <f>Analysis!O8</f>
        <v>46327</v>
      </c>
      <c r="B7" s="45" t="str">
        <f>Analysis!A8</f>
        <v>Zoom Pro</v>
      </c>
      <c r="C7" s="45" t="str">
        <f>Analysis!D8</f>
        <v>Annual auto-renew billed monthly</v>
      </c>
      <c r="D7" s="46">
        <f>Analysis!G8</f>
        <v>159.9</v>
      </c>
      <c r="E7" s="45" t="s">
        <v>278</v>
      </c>
      <c r="F7" s="44">
        <f>A7-Inputs!$B$11</f>
        <v>46317</v>
      </c>
      <c r="G7" s="47">
        <f>F7-Inputs!$B$6</f>
        <v>6</v>
      </c>
      <c r="H7" s="45" t="str">
        <f>Analysis!U8</f>
        <v>Marketing lead</v>
      </c>
      <c r="I7" s="46">
        <f>Analysis!Z8</f>
        <v>1918.8000000000002</v>
      </c>
      <c r="J7" s="45" t="str">
        <f>IF(AND(A7&gt;=Inputs!$B$7,A7&lt;=Inputs!$B$8),"Yes","No – 1 day after window; action date inside")</f>
        <v>Yes</v>
      </c>
    </row>
    <row r="8" spans="1:10" ht="25.5" x14ac:dyDescent="0.2">
      <c r="A8" s="44">
        <f>Analysis!O11</f>
        <v>46341</v>
      </c>
      <c r="B8" s="45" t="str">
        <f>Analysis!A11</f>
        <v>Monday.com Standard</v>
      </c>
      <c r="C8" s="45" t="str">
        <f>Analysis!D11</f>
        <v>Annual auto-renew billed monthly</v>
      </c>
      <c r="D8" s="46">
        <f>Analysis!G11</f>
        <v>120</v>
      </c>
      <c r="E8" s="45" t="s">
        <v>278</v>
      </c>
      <c r="F8" s="44">
        <f>A8-Inputs!$B$11</f>
        <v>46331</v>
      </c>
      <c r="G8" s="47">
        <f>F8-Inputs!$B$6</f>
        <v>20</v>
      </c>
      <c r="H8" s="45" t="str">
        <f>Analysis!U11</f>
        <v>Sales lead</v>
      </c>
      <c r="I8" s="46">
        <f>Analysis!Z11</f>
        <v>1440</v>
      </c>
      <c r="J8" s="45" t="str">
        <f>IF(AND(A8&gt;=Inputs!$B$7,A8&lt;=Inputs!$B$8),"Yes","No – 1 day after window; action date inside")</f>
        <v>Yes</v>
      </c>
    </row>
    <row r="9" spans="1:10" ht="25.5" x14ac:dyDescent="0.2">
      <c r="A9" s="44">
        <f>Analysis!O22</f>
        <v>46356</v>
      </c>
      <c r="B9" s="45" t="str">
        <f>Analysis!A22</f>
        <v>Dropbox Business</v>
      </c>
      <c r="C9" s="45" t="str">
        <f>Analysis!D22</f>
        <v>Annual auto-renew billed monthly</v>
      </c>
      <c r="D9" s="46">
        <f>Analysis!G22</f>
        <v>300</v>
      </c>
      <c r="E9" s="45" t="s">
        <v>278</v>
      </c>
      <c r="F9" s="44">
        <f>A9-Inputs!$B$11</f>
        <v>46346</v>
      </c>
      <c r="G9" s="47">
        <f>F9-Inputs!$B$6</f>
        <v>35</v>
      </c>
      <c r="H9" s="45" t="str">
        <f>Analysis!U22</f>
        <v>Marcus</v>
      </c>
      <c r="I9" s="46">
        <f>Analysis!Z22</f>
        <v>3600</v>
      </c>
      <c r="J9" s="45" t="str">
        <f>IF(AND(A9&gt;=Inputs!$B$7,A9&lt;=Inputs!$B$8),"Yes","No – 1 day after window; action date inside")</f>
        <v>Yes</v>
      </c>
    </row>
    <row r="10" spans="1:10" ht="25.5" x14ac:dyDescent="0.2">
      <c r="A10" s="44">
        <f>Analysis!O16</f>
        <v>46368</v>
      </c>
      <c r="B10" s="45" t="str">
        <f>Analysis!A16</f>
        <v>Adobe Creative Cloud</v>
      </c>
      <c r="C10" s="45" t="str">
        <f>Analysis!D16</f>
        <v>Annual billed monthly</v>
      </c>
      <c r="D10" s="46">
        <f>Analysis!G16</f>
        <v>239.96</v>
      </c>
      <c r="E10" s="45" t="s">
        <v>279</v>
      </c>
      <c r="F10" s="44">
        <f>A10-Inputs!$B$11</f>
        <v>46358</v>
      </c>
      <c r="G10" s="47">
        <f>F10-Inputs!$B$6</f>
        <v>47</v>
      </c>
      <c r="H10" s="45" t="str">
        <f>Analysis!U16</f>
        <v>Marketing lead</v>
      </c>
      <c r="I10" s="46">
        <f>Analysis!Z16</f>
        <v>1439.76</v>
      </c>
      <c r="J10" s="45" t="str">
        <f>IF(AND(A10&gt;=Inputs!$B$7,A10&lt;=Inputs!$B$8),"Yes","No – 1 day after window; action date inside")</f>
        <v>Yes</v>
      </c>
    </row>
    <row r="11" spans="1:10" ht="25.5" x14ac:dyDescent="0.2">
      <c r="A11" s="44">
        <f>Analysis!O6</f>
        <v>46388</v>
      </c>
      <c r="B11" s="45" t="str">
        <f>Analysis!A6</f>
        <v>Microsoft 365 Business Standard</v>
      </c>
      <c r="C11" s="45" t="str">
        <f>Analysis!D6</f>
        <v>Monthly</v>
      </c>
      <c r="D11" s="46">
        <f>Analysis!G6</f>
        <v>1062.5</v>
      </c>
      <c r="E11" s="45" t="s">
        <v>280</v>
      </c>
      <c r="F11" s="44">
        <f>A11-Inputs!$B$11</f>
        <v>46378</v>
      </c>
      <c r="G11" s="47">
        <f>F11-Inputs!$B$6</f>
        <v>67</v>
      </c>
      <c r="H11" s="45" t="str">
        <f>Analysis!U6</f>
        <v>Marcus</v>
      </c>
      <c r="I11" s="46">
        <f>Analysis!Z6</f>
        <v>0</v>
      </c>
      <c r="J11" s="45" t="str">
        <f>IF(AND(A11&gt;=Inputs!$B$7,A11&lt;=Inputs!$B$8),"Yes","No – 1 day after window; action date inside")</f>
        <v>Yes</v>
      </c>
    </row>
    <row r="12" spans="1:10" ht="25.5" x14ac:dyDescent="0.2">
      <c r="A12" s="44">
        <f>Analysis!O29</f>
        <v>46402</v>
      </c>
      <c r="B12" s="45" t="str">
        <f>Analysis!A29</f>
        <v>Hootsuite</v>
      </c>
      <c r="C12" s="45" t="str">
        <f>Analysis!D29</f>
        <v>Annual prepaid</v>
      </c>
      <c r="D12" s="46">
        <f>Analysis!G29</f>
        <v>249</v>
      </c>
      <c r="E12" s="45" t="s">
        <v>281</v>
      </c>
      <c r="F12" s="44">
        <f>A12-Inputs!$B$11</f>
        <v>46392</v>
      </c>
      <c r="G12" s="47">
        <f>F12-Inputs!$B$6</f>
        <v>81</v>
      </c>
      <c r="H12" s="45" t="str">
        <f>Analysis!U29</f>
        <v>Tom</v>
      </c>
      <c r="I12" s="46">
        <f>Analysis!Z29</f>
        <v>2988</v>
      </c>
      <c r="J12" s="45" t="str">
        <f>IF(AND(A12&gt;=Inputs!$B$7,A12&lt;=Inputs!$B$8),"Yes","No – 1 day after window; action date inside")</f>
        <v>No – 1 day after window; action date inside</v>
      </c>
    </row>
    <row r="14" spans="1:10" x14ac:dyDescent="0.2">
      <c r="A14" s="2" t="s">
        <v>282</v>
      </c>
    </row>
  </sheetData>
  <pageMargins left="0.7" right="0.7" top="0.75" bottom="0.75" header="0.3" footer="0.3"/>
  <pageSetup paperSize="0" fitToHeight="0" orientation="landscape" horizontalDpi="0" verticalDpi="0" copies="0"/>
  <headerFooter>
    <oddHeader>&amp;CWork sample — fictional scenario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7C43-1297-4769-8779-6521EF5C61AB}">
  <sheetPr>
    <pageSetUpPr fitToPage="1"/>
  </sheetPr>
  <dimension ref="A1:F28"/>
  <sheetViews>
    <sheetView workbookViewId="0">
      <selection activeCell="H21" sqref="H21"/>
    </sheetView>
  </sheetViews>
  <sheetFormatPr defaultRowHeight="12.75" x14ac:dyDescent="0.2"/>
  <cols>
    <col min="1" max="1" width="4.140625" style="2" customWidth="1"/>
    <col min="2" max="2" width="62.85546875" style="2" customWidth="1"/>
    <col min="3" max="3" width="20" style="2" customWidth="1"/>
    <col min="4" max="4" width="14.28515625" style="2" customWidth="1"/>
    <col min="5" max="6" width="13.28515625" style="2" customWidth="1"/>
    <col min="7" max="16384" width="9.140625" style="2"/>
  </cols>
  <sheetData>
    <row r="1" spans="1:6" x14ac:dyDescent="0.2">
      <c r="A1" s="1" t="s">
        <v>341</v>
      </c>
    </row>
    <row r="3" spans="1:6" x14ac:dyDescent="0.2">
      <c r="A3" s="8" t="s">
        <v>283</v>
      </c>
    </row>
    <row r="4" spans="1:6" x14ac:dyDescent="0.2">
      <c r="A4" s="56" t="s">
        <v>284</v>
      </c>
      <c r="B4" s="56"/>
      <c r="C4" s="56"/>
      <c r="D4" s="56"/>
      <c r="E4" s="56"/>
      <c r="F4" s="56"/>
    </row>
    <row r="5" spans="1:6" x14ac:dyDescent="0.2">
      <c r="A5" s="57" t="str">
        <f>"Bottom line: "&amp;TEXT('Savings summary'!F19,"$#,##0")&amp;"/yr in recurring savings (target "&amp;TEXT(Inputs!B10,"$#,##0")&amp;"). Separately, fixing 3 billing errors stops "&amp;TEXT('Savings summary'!C23,"$#,##0")&amp;"/yr of wrong monthly charges (Notion, Hootsuite) and recovers "&amp;TEXT('Savings summary'!F41,"$#,##0")&amp;" in refunds."</f>
        <v>Bottom line: $14,173/yr in recurring savings (target $12,000). Separately, fixing 3 billing errors stops $4,428/yr of wrong monthly charges (Notion, Hootsuite) and recovers $2,707 in refunds.</v>
      </c>
      <c r="B5" s="57"/>
      <c r="C5" s="57"/>
      <c r="D5" s="57"/>
      <c r="E5" s="57"/>
      <c r="F5" s="57"/>
    </row>
    <row r="6" spans="1:6" x14ac:dyDescent="0.2">
      <c r="A6" s="56" t="s">
        <v>285</v>
      </c>
      <c r="B6" s="56"/>
      <c r="C6" s="56"/>
      <c r="D6" s="56"/>
      <c r="E6" s="56"/>
      <c r="F6" s="56"/>
    </row>
    <row r="8" spans="1:6" x14ac:dyDescent="0.2">
      <c r="A8" s="9" t="s">
        <v>208</v>
      </c>
      <c r="B8" s="9" t="s">
        <v>286</v>
      </c>
      <c r="C8" s="9" t="s">
        <v>2</v>
      </c>
      <c r="D8" s="9" t="s">
        <v>287</v>
      </c>
      <c r="E8" s="9" t="s">
        <v>288</v>
      </c>
      <c r="F8" s="9" t="s">
        <v>289</v>
      </c>
    </row>
    <row r="9" spans="1:6" ht="25.5" x14ac:dyDescent="0.2">
      <c r="A9" s="10">
        <v>1</v>
      </c>
      <c r="B9" s="10" t="str">
        <f>"Dispute 3 billing errors (Notion, LinkedIn, Hootsuite) and stop the wrong monthly charges ("&amp;TEXT(Analysis!Z27+Analysis!Z29,"$#,##0")&amp;"/yr, not counted as savings). I draft, Tom sends."</f>
        <v>Dispute 3 billing errors (Notion, LinkedIn, Hootsuite) and stop the wrong monthly charges ($4,428/yr, not counted as savings). I draft, Tom sends.</v>
      </c>
      <c r="C9" s="10" t="s">
        <v>51</v>
      </c>
      <c r="D9" s="11" t="s">
        <v>338</v>
      </c>
      <c r="E9" s="12">
        <v>0</v>
      </c>
      <c r="F9" s="12">
        <f>Analysis!AB31</f>
        <v>2707</v>
      </c>
    </row>
    <row r="10" spans="1:6" ht="25.5" x14ac:dyDescent="0.2">
      <c r="A10" s="10">
        <v>2</v>
      </c>
      <c r="B10" s="10" t="s">
        <v>290</v>
      </c>
      <c r="C10" s="10" t="s">
        <v>13</v>
      </c>
      <c r="D10" s="11" t="s">
        <v>339</v>
      </c>
      <c r="E10" s="12">
        <f>Analysis!Z22</f>
        <v>3600</v>
      </c>
      <c r="F10" s="12">
        <v>0</v>
      </c>
    </row>
    <row r="11" spans="1:6" ht="25.5" x14ac:dyDescent="0.2">
      <c r="A11" s="10">
        <v>3</v>
      </c>
      <c r="B11" s="10" t="s">
        <v>291</v>
      </c>
      <c r="C11" s="10" t="s">
        <v>292</v>
      </c>
      <c r="D11" s="11" t="s">
        <v>293</v>
      </c>
      <c r="E11" s="12">
        <f>Analysis!Z8+Analysis!Z11</f>
        <v>3358.8</v>
      </c>
      <c r="F11" s="12">
        <v>0</v>
      </c>
    </row>
    <row r="12" spans="1:6" ht="25.5" x14ac:dyDescent="0.2">
      <c r="A12" s="10">
        <v>4</v>
      </c>
      <c r="B12" s="10" t="s">
        <v>294</v>
      </c>
      <c r="C12" s="10" t="s">
        <v>152</v>
      </c>
      <c r="D12" s="11" t="s">
        <v>340</v>
      </c>
      <c r="E12" s="12">
        <f>Analysis!Z7</f>
        <v>2016</v>
      </c>
      <c r="F12" s="12">
        <v>0</v>
      </c>
    </row>
    <row r="13" spans="1:6" ht="25.5" x14ac:dyDescent="0.2">
      <c r="A13" s="10">
        <v>5</v>
      </c>
      <c r="B13" s="10" t="s">
        <v>295</v>
      </c>
      <c r="C13" s="10" t="s">
        <v>296</v>
      </c>
      <c r="D13" s="11" t="s">
        <v>297</v>
      </c>
      <c r="E13" s="12">
        <f>Analysis!Z21+Analysis!Z15+Analysis!Z25+Analysis!Z9+Analysis!Z10+Analysis!Z16</f>
        <v>5198.5200000000004</v>
      </c>
      <c r="F13" s="12">
        <v>0</v>
      </c>
    </row>
    <row r="14" spans="1:6" x14ac:dyDescent="0.2">
      <c r="A14" s="3"/>
      <c r="B14" s="3" t="s">
        <v>351</v>
      </c>
      <c r="C14" s="3"/>
      <c r="D14" s="3"/>
      <c r="E14" s="13">
        <f>SUM(E9:E13)</f>
        <v>14173.32</v>
      </c>
      <c r="F14" s="13">
        <f>SUM(F9:F13)</f>
        <v>2707</v>
      </c>
    </row>
    <row r="15" spans="1:6" x14ac:dyDescent="0.2">
      <c r="A15" s="14" t="str">
        <f>IF(AND(ROUND(E14-'Savings summary'!F19,2)=0,ROUND(F14-'Savings summary'!F41,2)=0),"Check: ties to line items ✓","Check: DOES NOT TIE")</f>
        <v>Check: ties to line items ✓</v>
      </c>
    </row>
    <row r="17" spans="1:6" x14ac:dyDescent="0.2">
      <c r="A17" s="8" t="s">
        <v>298</v>
      </c>
    </row>
    <row r="18" spans="1:6" x14ac:dyDescent="0.2">
      <c r="A18" s="56" t="str">
        <f>"• Notion Plus: cancelled 30 Jun (vendor email), still charged $120/mo Jul–Sep. Refund "&amp;TEXT(Analysis!AB27,"$#,##0")&amp;"."</f>
        <v>• Notion Plus: cancelled 30 Jun (vendor email), still charged $120/mo Jul–Sep. Refund $360.</v>
      </c>
      <c r="B18" s="56"/>
      <c r="C18" s="56"/>
      <c r="D18" s="56"/>
      <c r="E18" s="56"/>
      <c r="F18" s="56"/>
    </row>
    <row r="19" spans="1:6" x14ac:dyDescent="0.2">
      <c r="A19" s="56" t="str">
        <f>"• LinkedIn Sales Navigator: charged $3,200 in Aug on a $1,600 annual plan. Refund "&amp;TEXT(Analysis!AB28,"$#,##0")&amp;"."</f>
        <v>• LinkedIn Sales Navigator: charged $3,200 in Aug on a $1,600 annual plan. Refund $1,600.</v>
      </c>
      <c r="B19" s="56"/>
      <c r="C19" s="56"/>
      <c r="D19" s="56"/>
      <c r="E19" s="56"/>
      <c r="F19" s="56"/>
    </row>
    <row r="20" spans="1:6" x14ac:dyDescent="0.2">
      <c r="A20" s="56" t="str">
        <f>"• Hootsuite: $2,388 prepaid in Jan, yet also charged $249/mo Jul–Sep. Refund "&amp;TEXT(Analysis!AB29,"$#,##0")&amp;"; Tom to check February to June too."</f>
        <v>• Hootsuite: $2,388 prepaid in Jan, yet also charged $249/mo Jul–Sep. Refund $747; Tom to check February to June too.</v>
      </c>
      <c r="B20" s="56"/>
      <c r="C20" s="56"/>
      <c r="D20" s="56"/>
      <c r="E20" s="56"/>
      <c r="F20" s="56"/>
    </row>
    <row r="22" spans="1:6" x14ac:dyDescent="0.2">
      <c r="A22" s="8" t="s">
        <v>299</v>
      </c>
    </row>
    <row r="23" spans="1:6" x14ac:dyDescent="0.2">
      <c r="A23" s="56" t="s">
        <v>300</v>
      </c>
      <c r="B23" s="56"/>
      <c r="C23" s="56"/>
      <c r="D23" s="56"/>
      <c r="E23" s="56"/>
      <c r="F23" s="56"/>
    </row>
    <row r="24" spans="1:6" x14ac:dyDescent="0.2">
      <c r="A24" s="56" t="s">
        <v>301</v>
      </c>
      <c r="B24" s="56"/>
      <c r="C24" s="56"/>
      <c r="D24" s="56"/>
      <c r="E24" s="56"/>
      <c r="F24" s="56"/>
    </row>
    <row r="25" spans="1:6" x14ac:dyDescent="0.2">
      <c r="A25" s="56" t="s">
        <v>302</v>
      </c>
      <c r="B25" s="56"/>
      <c r="C25" s="56"/>
      <c r="D25" s="56"/>
      <c r="E25" s="56"/>
      <c r="F25" s="56"/>
    </row>
    <row r="26" spans="1:6" x14ac:dyDescent="0.2">
      <c r="A26" s="56" t="s">
        <v>303</v>
      </c>
      <c r="B26" s="56"/>
      <c r="C26" s="56"/>
      <c r="D26" s="56"/>
      <c r="E26" s="56"/>
      <c r="F26" s="56"/>
    </row>
    <row r="28" spans="1:6" ht="32.1" customHeight="1" x14ac:dyDescent="0.2">
      <c r="A28" s="58" t="s">
        <v>304</v>
      </c>
      <c r="B28" s="58"/>
      <c r="C28" s="58"/>
      <c r="D28" s="58"/>
      <c r="E28" s="58"/>
      <c r="F28" s="58"/>
    </row>
  </sheetData>
  <mergeCells count="11">
    <mergeCell ref="A23:F23"/>
    <mergeCell ref="A24:F24"/>
    <mergeCell ref="A25:F25"/>
    <mergeCell ref="A26:F26"/>
    <mergeCell ref="A28:F28"/>
    <mergeCell ref="A20:F20"/>
    <mergeCell ref="A4:F4"/>
    <mergeCell ref="A5:F5"/>
    <mergeCell ref="A6:F6"/>
    <mergeCell ref="A18:F18"/>
    <mergeCell ref="A19:F19"/>
  </mergeCells>
  <pageMargins left="0.7" right="0.7" top="0.75" bottom="0.75" header="0.3" footer="0.3"/>
  <pageSetup scale="70" orientation="portrait" r:id="rId1"/>
  <headerFooter>
    <oddHeader>&amp;CWork sample — fictional scenario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32F1-8480-4902-81FB-FDC2CAF343C5}">
  <sheetPr>
    <pageSetUpPr fitToPage="1"/>
  </sheetPr>
  <dimension ref="A1:F11"/>
  <sheetViews>
    <sheetView workbookViewId="0">
      <selection activeCell="E19" sqref="E19"/>
    </sheetView>
  </sheetViews>
  <sheetFormatPr defaultRowHeight="12.75" x14ac:dyDescent="0.2"/>
  <cols>
    <col min="1" max="1" width="15.28515625" style="2" customWidth="1"/>
    <col min="2" max="2" width="47.85546875" style="2" customWidth="1"/>
    <col min="3" max="3" width="12.42578125" style="2" customWidth="1"/>
    <col min="4" max="4" width="17.140625" style="2" customWidth="1"/>
    <col min="5" max="5" width="47.5703125" style="2" customWidth="1"/>
    <col min="6" max="6" width="15.28515625" style="2" customWidth="1"/>
    <col min="7" max="16384" width="9.140625" style="2"/>
  </cols>
  <sheetData>
    <row r="1" spans="1:6" x14ac:dyDescent="0.2">
      <c r="A1" s="1" t="s">
        <v>341</v>
      </c>
    </row>
    <row r="3" spans="1:6" x14ac:dyDescent="0.2">
      <c r="A3" s="8" t="s">
        <v>305</v>
      </c>
    </row>
    <row r="5" spans="1:6" x14ac:dyDescent="0.2">
      <c r="A5" s="9" t="s">
        <v>306</v>
      </c>
      <c r="B5" s="9" t="s">
        <v>307</v>
      </c>
      <c r="C5" s="9" t="s">
        <v>308</v>
      </c>
      <c r="D5" s="9" t="s">
        <v>309</v>
      </c>
      <c r="E5" s="9" t="s">
        <v>310</v>
      </c>
      <c r="F5" s="9" t="s">
        <v>262</v>
      </c>
    </row>
    <row r="6" spans="1:6" ht="102" x14ac:dyDescent="0.2">
      <c r="A6" s="10" t="s">
        <v>311</v>
      </c>
      <c r="B6" s="10" t="s">
        <v>312</v>
      </c>
      <c r="C6" s="10">
        <v>4</v>
      </c>
      <c r="D6" s="50">
        <f>Analysis!AB27</f>
        <v>360</v>
      </c>
      <c r="E6" s="10" t="s">
        <v>365</v>
      </c>
      <c r="F6" s="39">
        <f>Analysis!V27</f>
        <v>46318</v>
      </c>
    </row>
    <row r="7" spans="1:6" ht="76.5" x14ac:dyDescent="0.2">
      <c r="A7" s="10" t="s">
        <v>313</v>
      </c>
      <c r="B7" s="10" t="s">
        <v>314</v>
      </c>
      <c r="C7" s="10">
        <v>4</v>
      </c>
      <c r="D7" s="50">
        <f>Analysis!AB28</f>
        <v>1600</v>
      </c>
      <c r="E7" s="10" t="s">
        <v>366</v>
      </c>
      <c r="F7" s="39">
        <f>Analysis!V28</f>
        <v>46318</v>
      </c>
    </row>
    <row r="8" spans="1:6" ht="102" x14ac:dyDescent="0.2">
      <c r="A8" s="10" t="s">
        <v>84</v>
      </c>
      <c r="B8" s="10" t="s">
        <v>315</v>
      </c>
      <c r="C8" s="10">
        <v>4</v>
      </c>
      <c r="D8" s="50">
        <f>Analysis!AB29</f>
        <v>747</v>
      </c>
      <c r="E8" s="10" t="s">
        <v>367</v>
      </c>
      <c r="F8" s="39">
        <f>Analysis!V29</f>
        <v>46318</v>
      </c>
    </row>
    <row r="9" spans="1:6" x14ac:dyDescent="0.2">
      <c r="A9" s="3" t="s">
        <v>206</v>
      </c>
      <c r="B9" s="3"/>
      <c r="C9" s="3"/>
      <c r="D9" s="51">
        <f>SUM(D6:D8)</f>
        <v>2707</v>
      </c>
      <c r="E9" s="5"/>
      <c r="F9" s="5"/>
    </row>
    <row r="11" spans="1:6" x14ac:dyDescent="0.2">
      <c r="A11" s="2" t="s">
        <v>316</v>
      </c>
    </row>
  </sheetData>
  <pageMargins left="0.7" right="0.7" top="0.75" bottom="0.75" header="0.3" footer="0.3"/>
  <pageSetup paperSize="0" fitToHeight="0" orientation="landscape" horizontalDpi="0" verticalDpi="0" copies="0"/>
  <headerFooter>
    <oddHeader>&amp;CWork sample — fictional scenario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59A14-C3AB-459D-ABFE-91C44031BCCF}">
  <sheetPr>
    <pageSetUpPr fitToPage="1"/>
  </sheetPr>
  <dimension ref="A1:G34"/>
  <sheetViews>
    <sheetView workbookViewId="0">
      <selection activeCell="B6" sqref="B6"/>
    </sheetView>
  </sheetViews>
  <sheetFormatPr defaultRowHeight="12.75" x14ac:dyDescent="0.2"/>
  <cols>
    <col min="1" max="1" width="7.28515625" style="2" customWidth="1"/>
    <col min="2" max="2" width="44.28515625" style="2" bestFit="1" customWidth="1"/>
    <col min="3" max="3" width="61.140625" style="2" bestFit="1" customWidth="1"/>
    <col min="4" max="4" width="79.85546875" style="2" bestFit="1" customWidth="1"/>
    <col min="5" max="5" width="8" style="2" bestFit="1" customWidth="1"/>
    <col min="6" max="16384" width="9.140625" style="2"/>
  </cols>
  <sheetData>
    <row r="1" spans="1:7" x14ac:dyDescent="0.2">
      <c r="A1" s="1" t="s">
        <v>341</v>
      </c>
    </row>
    <row r="3" spans="1:7" x14ac:dyDescent="0.2">
      <c r="A3" s="8" t="s">
        <v>317</v>
      </c>
    </row>
    <row r="5" spans="1:7" x14ac:dyDescent="0.2">
      <c r="A5" s="48" t="s">
        <v>318</v>
      </c>
      <c r="B5" s="48" t="s">
        <v>319</v>
      </c>
      <c r="C5" s="48" t="s">
        <v>320</v>
      </c>
      <c r="D5" s="48" t="s">
        <v>321</v>
      </c>
      <c r="E5" s="48" t="s">
        <v>322</v>
      </c>
      <c r="F5" s="48" t="s">
        <v>400</v>
      </c>
      <c r="G5" s="48" t="s">
        <v>401</v>
      </c>
    </row>
    <row r="6" spans="1:7" ht="63.75" x14ac:dyDescent="0.2">
      <c r="A6" s="10">
        <v>5</v>
      </c>
      <c r="B6" s="49">
        <v>46312</v>
      </c>
      <c r="C6" s="10" t="s">
        <v>323</v>
      </c>
      <c r="D6" s="10" t="str">
        <f>"1) Profiled 25-tool export, logged 12 data issues, built per-tool metrics and classifications."&amp;CHAR(10)&amp;"2) Found "&amp;TEXT('Savings summary'!F19,"$#,##0")&amp;"/yr recurring savings (target "&amp;TEXT(Inputs!B10,"$#,##0")&amp;"); separately, fixing 3 billing errors stops "&amp;TEXT('Savings summary'!C23,"$#,##0")&amp;"/yr of wrong charges and recovers "&amp;TEXT('Savings summary'!F41,"$#,##0")&amp;" in refunds; three-way reconciliation ties."&amp;CHAR(10)&amp;"3) Lesson: read the Notes column first – the billing errors were all in the notes, not the numbers."</f>
        <v>1) Profiled 25-tool export, logged 12 data issues, built per-tool metrics and classifications.
2) Found $14,173/yr recurring savings (target $12,000); separately, fixing 3 billing errors stops $4,428/yr of wrong charges and recovers $2,707 in refunds; three-way reconciliation ties.
3) Lesson: read the Notes column first – the billing errors were all in the notes, not the numbers.</v>
      </c>
      <c r="E6" s="10" t="s">
        <v>324</v>
      </c>
      <c r="F6" s="10" t="s">
        <v>402</v>
      </c>
      <c r="G6" s="10" t="str">
        <f>COUNTIF(C23:C34,"Pass")&amp;" pass, "&amp;COUNTIF(C23:C34,"Fixed")&amp;" failed and fixed, "&amp;COUNTIF(C23:C34,"Open")&amp;" open, "&amp;COUNTIF(C23:C34,"Pending")&amp;" pending"</f>
        <v>5 pass, 3 failed and fixed, 1 open, 3 pending</v>
      </c>
    </row>
    <row r="8" spans="1:7" x14ac:dyDescent="0.2">
      <c r="A8" s="9" t="s">
        <v>208</v>
      </c>
      <c r="B8" s="9" t="s">
        <v>352</v>
      </c>
      <c r="C8" s="9" t="s">
        <v>325</v>
      </c>
    </row>
    <row r="9" spans="1:7" ht="25.5" x14ac:dyDescent="0.2">
      <c r="A9" s="5">
        <v>1</v>
      </c>
      <c r="B9" s="45" t="s">
        <v>326</v>
      </c>
      <c r="C9" s="45" t="str">
        <f>"Pass – "&amp;COUNT('Data issues'!A7:A18)&amp;" data issues logged before analysis (Data issues tab)"</f>
        <v>Pass – 12 data issues logged before analysis (Data issues tab)</v>
      </c>
    </row>
    <row r="10" spans="1:7" ht="25.5" x14ac:dyDescent="0.2">
      <c r="A10" s="5">
        <v>2</v>
      </c>
      <c r="B10" s="45" t="s">
        <v>327</v>
      </c>
      <c r="C10" s="45" t="str">
        <f>"Pass – "&amp;COUNTIF(Analysis!R6:R30,"Billing error")&amp;" billing errors found; "&amp;TEXT('Savings summary'!F41,"$#,##0")&amp;" refunds kept separate from recurring savings"</f>
        <v>Pass – 3 billing errors found; $2,707 refunds kept separate from recurring savings</v>
      </c>
    </row>
    <row r="11" spans="1:7" ht="25.5" x14ac:dyDescent="0.2">
      <c r="A11" s="5">
        <v>3</v>
      </c>
      <c r="B11" s="45" t="s">
        <v>328</v>
      </c>
      <c r="C11" s="45" t="s">
        <v>353</v>
      </c>
    </row>
    <row r="12" spans="1:7" ht="38.25" x14ac:dyDescent="0.2">
      <c r="A12" s="5">
        <v>4</v>
      </c>
      <c r="B12" s="45" t="s">
        <v>329</v>
      </c>
      <c r="C12" s="45" t="s">
        <v>354</v>
      </c>
    </row>
    <row r="13" spans="1:7" x14ac:dyDescent="0.2">
      <c r="A13" s="5">
        <v>5</v>
      </c>
      <c r="B13" s="45" t="s">
        <v>330</v>
      </c>
      <c r="C13" s="45" t="str">
        <f>IF('Savings summary'!C33=0,"Pass – nothing on the freeze list is cut","FAIL")</f>
        <v>Pass – nothing on the freeze list is cut</v>
      </c>
    </row>
    <row r="14" spans="1:7" x14ac:dyDescent="0.2">
      <c r="A14" s="5">
        <v>6</v>
      </c>
      <c r="B14" s="45" t="s">
        <v>331</v>
      </c>
      <c r="C14" s="45" t="s">
        <v>355</v>
      </c>
    </row>
    <row r="15" spans="1:7" ht="25.5" x14ac:dyDescent="0.2">
      <c r="A15" s="5">
        <v>7</v>
      </c>
      <c r="B15" s="45" t="s">
        <v>332</v>
      </c>
      <c r="C15" s="45" t="s">
        <v>356</v>
      </c>
    </row>
    <row r="16" spans="1:7" x14ac:dyDescent="0.2">
      <c r="A16" s="5">
        <v>8</v>
      </c>
      <c r="B16" s="45" t="s">
        <v>333</v>
      </c>
      <c r="C16" s="45" t="str">
        <f>IF('Savings summary'!F19&gt;=Inputs!B10,"Pass – "&amp;TEXT('Savings summary'!F19,"$#,##0")&amp;"/yr recurring, excluding billing-error stops","Shortfall")</f>
        <v>Pass – $14,173/yr recurring, excluding billing-error stops</v>
      </c>
    </row>
    <row r="17" spans="1:4" ht="25.5" x14ac:dyDescent="0.2">
      <c r="A17" s="5">
        <v>9</v>
      </c>
      <c r="B17" s="45" t="s">
        <v>334</v>
      </c>
      <c r="C17" s="45" t="str">
        <f>"Pass – "&amp;COUNTIF('Renewal calendar'!J7:J12,"Yes")&amp;" renewals in the window, each with an action date; Hootsuite (15 Jan) flagged"</f>
        <v>Pass – 5 renewals in the window, each with an action date; Hootsuite (15 Jan) flagged</v>
      </c>
    </row>
    <row r="18" spans="1:4" x14ac:dyDescent="0.2">
      <c r="A18" s="5">
        <v>10</v>
      </c>
      <c r="B18" s="45" t="s">
        <v>335</v>
      </c>
      <c r="C18" s="45" t="str">
        <f>"Pass – memo fits one page; longest dispute draft is "&amp;MAX('Dispute drafts'!C6:C8)&amp;" sentences"</f>
        <v>Pass – memo fits one page; longest dispute draft is 4 sentences</v>
      </c>
    </row>
    <row r="19" spans="1:4" x14ac:dyDescent="0.2">
      <c r="A19" s="5">
        <v>11</v>
      </c>
      <c r="B19" s="45" t="s">
        <v>336</v>
      </c>
      <c r="C19" s="45" t="str">
        <f>IF('Savings summary'!C28="OK – ties","Pass – all three methods agree","FAIL")</f>
        <v>Pass – all three methods agree</v>
      </c>
    </row>
    <row r="20" spans="1:4" x14ac:dyDescent="0.2">
      <c r="A20" s="5">
        <v>12</v>
      </c>
      <c r="B20" s="45" t="s">
        <v>337</v>
      </c>
      <c r="C20" s="45" t="s">
        <v>357</v>
      </c>
    </row>
    <row r="21" spans="1:4" x14ac:dyDescent="0.2">
      <c r="A21" s="8" t="s">
        <v>368</v>
      </c>
    </row>
    <row r="22" spans="1:4" x14ac:dyDescent="0.2">
      <c r="A22" s="9" t="s">
        <v>208</v>
      </c>
      <c r="B22" s="9" t="s">
        <v>369</v>
      </c>
      <c r="C22" s="9" t="s">
        <v>370</v>
      </c>
      <c r="D22" s="9" t="s">
        <v>371</v>
      </c>
    </row>
    <row r="23" spans="1:4" ht="51" x14ac:dyDescent="0.2">
      <c r="A23" s="32">
        <v>1</v>
      </c>
      <c r="B23" s="10" t="s">
        <v>372</v>
      </c>
      <c r="C23" s="10" t="s">
        <v>373</v>
      </c>
      <c r="D23" s="10" t="s">
        <v>374</v>
      </c>
    </row>
    <row r="24" spans="1:4" ht="25.5" x14ac:dyDescent="0.2">
      <c r="A24" s="32">
        <v>2</v>
      </c>
      <c r="B24" s="10" t="s">
        <v>375</v>
      </c>
      <c r="C24" s="10" t="s">
        <v>376</v>
      </c>
      <c r="D24" s="10" t="s">
        <v>377</v>
      </c>
    </row>
    <row r="25" spans="1:4" ht="25.5" x14ac:dyDescent="0.2">
      <c r="A25" s="32">
        <v>3</v>
      </c>
      <c r="B25" s="10" t="s">
        <v>378</v>
      </c>
      <c r="C25" s="10" t="s">
        <v>376</v>
      </c>
      <c r="D25" s="10" t="s">
        <v>379</v>
      </c>
    </row>
    <row r="26" spans="1:4" ht="25.5" x14ac:dyDescent="0.2">
      <c r="A26" s="32">
        <v>4</v>
      </c>
      <c r="B26" s="10" t="s">
        <v>380</v>
      </c>
      <c r="C26" s="10" t="s">
        <v>373</v>
      </c>
      <c r="D26" s="10" t="s">
        <v>381</v>
      </c>
    </row>
    <row r="27" spans="1:4" x14ac:dyDescent="0.2">
      <c r="A27" s="32">
        <v>5</v>
      </c>
      <c r="B27" s="10" t="s">
        <v>382</v>
      </c>
      <c r="C27" s="10" t="s">
        <v>376</v>
      </c>
      <c r="D27" s="10" t="s">
        <v>383</v>
      </c>
    </row>
    <row r="28" spans="1:4" ht="38.25" x14ac:dyDescent="0.2">
      <c r="A28" s="32">
        <v>6</v>
      </c>
      <c r="B28" s="10" t="s">
        <v>384</v>
      </c>
      <c r="C28" s="10" t="s">
        <v>373</v>
      </c>
      <c r="D28" s="10" t="s">
        <v>385</v>
      </c>
    </row>
    <row r="29" spans="1:4" ht="25.5" x14ac:dyDescent="0.2">
      <c r="A29" s="32">
        <v>7</v>
      </c>
      <c r="B29" s="10" t="s">
        <v>386</v>
      </c>
      <c r="C29" s="10" t="s">
        <v>387</v>
      </c>
      <c r="D29" s="10" t="s">
        <v>388</v>
      </c>
    </row>
    <row r="30" spans="1:4" ht="25.5" x14ac:dyDescent="0.2">
      <c r="A30" s="32">
        <v>8</v>
      </c>
      <c r="B30" s="10" t="s">
        <v>389</v>
      </c>
      <c r="C30" s="10" t="s">
        <v>390</v>
      </c>
      <c r="D30" s="10" t="s">
        <v>391</v>
      </c>
    </row>
    <row r="31" spans="1:4" x14ac:dyDescent="0.2">
      <c r="A31" s="32">
        <v>9</v>
      </c>
      <c r="B31" s="10" t="s">
        <v>392</v>
      </c>
      <c r="C31" s="10" t="s">
        <v>390</v>
      </c>
      <c r="D31" s="10" t="s">
        <v>393</v>
      </c>
    </row>
    <row r="32" spans="1:4" x14ac:dyDescent="0.2">
      <c r="A32" s="32">
        <v>10</v>
      </c>
      <c r="B32" s="10" t="s">
        <v>394</v>
      </c>
      <c r="C32" s="10" t="s">
        <v>390</v>
      </c>
      <c r="D32" s="10" t="s">
        <v>395</v>
      </c>
    </row>
    <row r="33" spans="1:4" x14ac:dyDescent="0.2">
      <c r="A33" s="32">
        <v>11</v>
      </c>
      <c r="B33" s="10" t="s">
        <v>396</v>
      </c>
      <c r="C33" s="10" t="s">
        <v>376</v>
      </c>
      <c r="D33" s="10" t="s">
        <v>397</v>
      </c>
    </row>
    <row r="34" spans="1:4" ht="25.5" x14ac:dyDescent="0.2">
      <c r="A34" s="32">
        <v>12</v>
      </c>
      <c r="B34" s="10" t="s">
        <v>398</v>
      </c>
      <c r="C34" s="10" t="s">
        <v>376</v>
      </c>
      <c r="D34" s="10" t="s">
        <v>399</v>
      </c>
    </row>
  </sheetData>
  <pageMargins left="0.7" right="0.7" top="0.75" bottom="0.75" header="0.3" footer="0.3"/>
  <pageSetup paperSize="0" fitToHeight="0" orientation="landscape" horizontalDpi="0" verticalDpi="0" copies="0"/>
  <headerFooter>
    <oddHeader>&amp;CWork sample — fictional scenario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Raw</vt:lpstr>
      <vt:lpstr>Data issues</vt:lpstr>
      <vt:lpstr>Inputs</vt:lpstr>
      <vt:lpstr>Analysis</vt:lpstr>
      <vt:lpstr>Savings summary</vt:lpstr>
      <vt:lpstr>Renewal calendar</vt:lpstr>
      <vt:lpstr>Memo to Marcus</vt:lpstr>
      <vt:lpstr>Dispute drafts</vt:lpstr>
      <vt:lpstr>Log &amp; QA</vt:lpstr>
      <vt:lpstr>'Memo to Marcus'!Print_Area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2026-10-16T23:12:47Z</dcterms:created>
  <dcterms:modified xsi:type="dcterms:W3CDTF">2026-10-17T13:49:40Z</dcterms:modified>
</cp:coreProperties>
</file>