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1005" documentId="8_{23468526-77F8-4B95-8AED-B2ED2327716D}" xr6:coauthVersionLast="47" xr6:coauthVersionMax="47" xr10:uidLastSave="{B6B9D3AE-F60F-401A-8899-78E2DDBBFE65}"/>
  <bookViews>
    <workbookView xWindow="20370" yWindow="-120" windowWidth="29040" windowHeight="15720" tabRatio="743" activeTab="3" xr2:uid="{4FB3D50F-4EEA-46DB-8A0A-44AAB29933A7}"/>
  </bookViews>
  <sheets>
    <sheet name="Raw (untouched)" sheetId="5" r:id="rId1"/>
    <sheet name="Clean" sheetId="8" r:id="rId2"/>
    <sheet name="Cleaning log" sheetId="3" r:id="rId3"/>
    <sheet name="Dashboard" sheetId="12" r:id="rId4"/>
  </sheets>
  <definedNames>
    <definedName name="_xlnm._FilterDatabase" localSheetId="1" hidden="1">Clean!$A$1:$F$40</definedName>
    <definedName name="ExternalData_1" localSheetId="0" hidden="1">'Raw (untouched)'!$A$3:$F$42</definedName>
    <definedName name="_xlnm.Print_Area" localSheetId="3">Dashboard!$A$3:$O$48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63" i="12" l="1"/>
  <c r="B58" i="12"/>
  <c r="A12" i="12"/>
  <c r="C12" i="12" s="1"/>
  <c r="A13" i="12"/>
  <c r="H18" i="8" s="1"/>
  <c r="A14" i="12"/>
  <c r="I35" i="12" s="1"/>
  <c r="M35" i="12" s="1"/>
  <c r="K79" i="12"/>
  <c r="F79" i="12"/>
  <c r="K78" i="12"/>
  <c r="F78" i="12"/>
  <c r="K77" i="12"/>
  <c r="F77" i="12"/>
  <c r="K76" i="12"/>
  <c r="F76" i="12"/>
  <c r="K75" i="12"/>
  <c r="F75" i="12"/>
  <c r="K74" i="12"/>
  <c r="F74" i="12"/>
  <c r="K73" i="12"/>
  <c r="F73" i="12"/>
  <c r="K72" i="12"/>
  <c r="F72" i="12"/>
  <c r="K71" i="12"/>
  <c r="F71" i="12"/>
  <c r="K70" i="12"/>
  <c r="F70" i="12"/>
  <c r="K69" i="12"/>
  <c r="F69" i="12"/>
  <c r="K68" i="12"/>
  <c r="F68" i="12"/>
  <c r="A67" i="12"/>
  <c r="C67" i="12" s="1"/>
  <c r="F67" i="12"/>
  <c r="K67" i="12"/>
  <c r="B61" i="12"/>
  <c r="J18" i="8"/>
  <c r="J20" i="8"/>
  <c r="D14" i="12" l="1"/>
  <c r="D13" i="12"/>
  <c r="D17" i="12" s="1"/>
  <c r="I34" i="12"/>
  <c r="M34" i="12" s="1"/>
  <c r="D12" i="12"/>
  <c r="E12" i="12" s="1"/>
  <c r="H17" i="8"/>
  <c r="B12" i="12"/>
  <c r="J33" i="12" s="1"/>
  <c r="I33" i="12"/>
  <c r="L35" i="12"/>
  <c r="A68" i="12"/>
  <c r="J68" i="12" s="1"/>
  <c r="C13" i="12"/>
  <c r="C17" i="12" s="1"/>
  <c r="H19" i="8"/>
  <c r="D67" i="12"/>
  <c r="E67" i="12" s="1"/>
  <c r="I68" i="12"/>
  <c r="B13" i="12"/>
  <c r="C14" i="12"/>
  <c r="E14" i="12" s="1"/>
  <c r="B14" i="12"/>
  <c r="J67" i="12"/>
  <c r="I67" i="12"/>
  <c r="G67" i="12"/>
  <c r="L17" i="8"/>
  <c r="J17" i="8"/>
  <c r="J19" i="8"/>
  <c r="F14" i="12" l="1"/>
  <c r="G14" i="12" s="1"/>
  <c r="E17" i="12"/>
  <c r="I18" i="8"/>
  <c r="K18" i="8" s="1"/>
  <c r="B17" i="12"/>
  <c r="F17" i="12" s="1"/>
  <c r="G17" i="12" s="1"/>
  <c r="F12" i="12"/>
  <c r="G12" i="12" s="1"/>
  <c r="B62" i="12"/>
  <c r="E13" i="12"/>
  <c r="F13" i="12" s="1"/>
  <c r="G13" i="12" s="1"/>
  <c r="L34" i="12"/>
  <c r="N34" i="12" s="1"/>
  <c r="I17" i="8"/>
  <c r="K17" i="8" s="1"/>
  <c r="C68" i="12"/>
  <c r="A69" i="12"/>
  <c r="A70" i="12" s="1"/>
  <c r="A71" i="12" s="1"/>
  <c r="C15" i="12"/>
  <c r="D68" i="12"/>
  <c r="G68" i="12"/>
  <c r="M33" i="12"/>
  <c r="L33" i="12"/>
  <c r="N35" i="12"/>
  <c r="C69" i="12"/>
  <c r="I69" i="12"/>
  <c r="I19" i="8"/>
  <c r="K19" i="8" s="1"/>
  <c r="J35" i="12"/>
  <c r="J34" i="12"/>
  <c r="B15" i="12"/>
  <c r="C70" i="12"/>
  <c r="I70" i="12"/>
  <c r="J70" i="12"/>
  <c r="D70" i="12" l="1"/>
  <c r="D69" i="12"/>
  <c r="G70" i="12"/>
  <c r="E68" i="12"/>
  <c r="G69" i="12"/>
  <c r="J69" i="12"/>
  <c r="E15" i="12"/>
  <c r="F15" i="12" s="1"/>
  <c r="G15" i="12" s="1"/>
  <c r="L36" i="12"/>
  <c r="N33" i="12"/>
  <c r="E69" i="12"/>
  <c r="M36" i="12"/>
  <c r="I20" i="8"/>
  <c r="K20" i="8" s="1"/>
  <c r="I22" i="8" s="1" a="1"/>
  <c r="I22" i="8" s="1"/>
  <c r="J36" i="12"/>
  <c r="K33" i="12" s="1"/>
  <c r="E70" i="12"/>
  <c r="I71" i="12"/>
  <c r="G71" i="12"/>
  <c r="C71" i="12"/>
  <c r="J71" i="12"/>
  <c r="D71" i="12"/>
  <c r="A72" i="12"/>
  <c r="N36" i="12" l="1"/>
  <c r="E71" i="12"/>
  <c r="K35" i="12"/>
  <c r="K34" i="12"/>
  <c r="J72" i="12"/>
  <c r="I72" i="12"/>
  <c r="G72" i="12"/>
  <c r="C72" i="12"/>
  <c r="D72" i="12"/>
  <c r="A73" i="12"/>
  <c r="E72" i="12" l="1"/>
  <c r="K36" i="12"/>
  <c r="J73" i="12"/>
  <c r="I73" i="12"/>
  <c r="A74" i="12"/>
  <c r="G73" i="12"/>
  <c r="C73" i="12"/>
  <c r="D73" i="12"/>
  <c r="E73" i="12" l="1"/>
  <c r="A75" i="12"/>
  <c r="J74" i="12"/>
  <c r="D74" i="12"/>
  <c r="I74" i="12"/>
  <c r="G74" i="12"/>
  <c r="C74" i="12"/>
  <c r="E74" i="12" l="1"/>
  <c r="C75" i="12"/>
  <c r="J75" i="12"/>
  <c r="I75" i="12"/>
  <c r="G75" i="12"/>
  <c r="D75" i="12"/>
  <c r="A76" i="12"/>
  <c r="E75" i="12" l="1"/>
  <c r="D76" i="12"/>
  <c r="C76" i="12"/>
  <c r="J76" i="12"/>
  <c r="A77" i="12"/>
  <c r="I76" i="12"/>
  <c r="G76" i="12"/>
  <c r="E76" i="12" l="1"/>
  <c r="D77" i="12"/>
  <c r="I77" i="12"/>
  <c r="C77" i="12"/>
  <c r="G77" i="12"/>
  <c r="A78" i="12"/>
  <c r="J77" i="12"/>
  <c r="G78" i="12" l="1"/>
  <c r="A79" i="12"/>
  <c r="D78" i="12"/>
  <c r="C78" i="12"/>
  <c r="I78" i="12"/>
  <c r="J78" i="12"/>
  <c r="E77" i="12"/>
  <c r="E78" i="12" l="1"/>
  <c r="I79" i="12"/>
  <c r="G79" i="12"/>
  <c r="D79" i="12"/>
  <c r="C79" i="12"/>
  <c r="J79" i="12"/>
  <c r="E79" i="1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BDDD7B-F52A-437D-A985-199A4F1A9F7E}" keepAlive="1" name="Query - Tom_Q3_weekly_export" description="Connection to the 'Tom_Q3_weekly_export' query in the workbook." type="5" refreshedVersion="8" background="1" saveData="1">
    <dbPr connection="Provider=Microsoft.Mashup.OleDb.1;Data Source=$Workbook$;Location=Tom_Q3_weekly_export;Extended Properties=&quot;&quot;" command="SELECT * FROM [Tom_Q3_weekly_export]"/>
  </connection>
  <connection id="2" xr16:uid="{A26803BE-2C4F-4E4F-AB6E-EA95D8CFC906}" keepAlive="1" name="Query - Tom_Q3_weekly_export (2)" description="Connection to the 'Tom_Q3_weekly_export (2)' query in the workbook." type="5" refreshedVersion="8" background="1" saveData="1">
    <dbPr connection="Provider=Microsoft.Mashup.OleDb.1;Data Source=$Workbook$;Location=&quot;Tom_Q3_weekly_export (2)&quot;;Extended Properties=&quot;&quot;" command="SELECT * FROM [Tom_Q3_weekly_export (2)]"/>
  </connection>
  <connection id="3" xr16:uid="{F8218D76-A83E-4B9F-B2BE-E812450217DA}" keepAlive="1" name="Query - Tom_Q3_weekly_export (3)" description="Connection to the 'Tom_Q3_weekly_export (3)' query in the workbook." type="5" refreshedVersion="8" background="1" saveData="1">
    <dbPr connection="Provider=Microsoft.Mashup.OleDb.1;Data Source=$Workbook$;Location=&quot;Tom_Q3_weekly_export (3)&quot;;Extended Properties=&quot;&quot;" command="SELECT * FROM [Tom_Q3_weekly_export (3)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<sst xmlns="http://schemas.openxmlformats.org/spreadsheetml/2006/main" count="294" uniqueCount="156">
  <si>
    <t>Week_Start</t>
  </si>
  <si>
    <t>Channel</t>
  </si>
  <si>
    <t>Orders</t>
  </si>
  <si>
    <t>Gross_Sales_USD</t>
  </si>
  <si>
    <t>Returns_USD</t>
  </si>
  <si>
    <t>On_Time_Ship_Pct</t>
  </si>
  <si>
    <t>2026-06-29</t>
  </si>
  <si>
    <t>DTC Online</t>
  </si>
  <si>
    <t>37131.64</t>
  </si>
  <si>
    <t>TrailMart</t>
  </si>
  <si>
    <t>65123.41</t>
  </si>
  <si>
    <t>Other Wholesale</t>
  </si>
  <si>
    <t>26552.63</t>
  </si>
  <si>
    <t>2026-07-06</t>
  </si>
  <si>
    <t>41007.93</t>
  </si>
  <si>
    <t>69822.04</t>
  </si>
  <si>
    <t>30873.65</t>
  </si>
  <si>
    <t>2026-07-13</t>
  </si>
  <si>
    <t>36456.24</t>
  </si>
  <si>
    <t>Trailmart</t>
  </si>
  <si>
    <t>60761.8</t>
  </si>
  <si>
    <t>28717.06</t>
  </si>
  <si>
    <t>2026-07-20</t>
  </si>
  <si>
    <t>42440.46</t>
  </si>
  <si>
    <t>62277.52</t>
  </si>
  <si>
    <t>28591.21</t>
  </si>
  <si>
    <t>07/27/2026</t>
  </si>
  <si>
    <t>42773.29</t>
  </si>
  <si>
    <t>2026-07-27</t>
  </si>
  <si>
    <t>64343.05</t>
  </si>
  <si>
    <t>27850.74</t>
  </si>
  <si>
    <t>2026-08-03</t>
  </si>
  <si>
    <t>$44,564.23</t>
  </si>
  <si>
    <t>64088.09</t>
  </si>
  <si>
    <t>30522.95</t>
  </si>
  <si>
    <t>2026-08-10</t>
  </si>
  <si>
    <t>46153.88</t>
  </si>
  <si>
    <t>62537.21</t>
  </si>
  <si>
    <t>27293.32</t>
  </si>
  <si>
    <t>2026-08-17</t>
  </si>
  <si>
    <t xml:space="preserve">DTC online </t>
  </si>
  <si>
    <t>38985.59</t>
  </si>
  <si>
    <t>57108.34</t>
  </si>
  <si>
    <t>33517.13</t>
  </si>
  <si>
    <t>2026-08-24</t>
  </si>
  <si>
    <t>44096.47</t>
  </si>
  <si>
    <t>566594.5</t>
  </si>
  <si>
    <t>30284.04</t>
  </si>
  <si>
    <t>2026-08-31</t>
  </si>
  <si>
    <t>43320.5</t>
  </si>
  <si>
    <t>62638.02</t>
  </si>
  <si>
    <t>33923.9</t>
  </si>
  <si>
    <t>2026-09-07</t>
  </si>
  <si>
    <t>43258.54</t>
  </si>
  <si>
    <t>53739.79</t>
  </si>
  <si>
    <t>28371.15</t>
  </si>
  <si>
    <t>2026-09-14</t>
  </si>
  <si>
    <t>40948.78</t>
  </si>
  <si>
    <t>60129.77</t>
  </si>
  <si>
    <t>2026-09-21</t>
  </si>
  <si>
    <t>45241.75</t>
  </si>
  <si>
    <t>57250.77</t>
  </si>
  <si>
    <t>29315.01</t>
  </si>
  <si>
    <t>Row Labels</t>
  </si>
  <si>
    <t>Grand Total</t>
  </si>
  <si>
    <t>Q3 gross sales budget (USD)</t>
  </si>
  <si>
    <t>Total</t>
  </si>
  <si>
    <t>Work sample — fictional scenario</t>
  </si>
  <si>
    <t>n/a</t>
  </si>
  <si>
    <t>H2 starts (week of)</t>
  </si>
  <si>
    <t>#</t>
  </si>
  <si>
    <t>Column</t>
  </si>
  <si>
    <t>Problem found</t>
  </si>
  <si>
    <t>Action taken</t>
  </si>
  <si>
    <t>Every value stored as text, not a number</t>
  </si>
  <si>
    <t>Converted to numbers</t>
  </si>
  <si>
    <t>"$44,564.23" has a $ sign and a thousands comma inside the text</t>
  </si>
  <si>
    <t>Removed $ and comma; stored 44,564.23</t>
  </si>
  <si>
    <t>Converted to 2026-07-27; whole column stored as real dates</t>
  </si>
  <si>
    <t>"Trailmart" (lower-case m)</t>
  </si>
  <si>
    <t>Changed to "TrailMart"</t>
  </si>
  <si>
    <t>"DTC online " (lower-case o + trailing space)</t>
  </si>
  <si>
    <t>Changed to "DTC Online"</t>
  </si>
  <si>
    <t>Mixed scales: 96.6 style (whole number) vs 0.951 on row 16</t>
  </si>
  <si>
    <t>Divided whole numbers by 100; row 16 left as 0.951 (95.1%)</t>
  </si>
  <si>
    <t>All</t>
  </si>
  <si>
    <t>TrailMart 03-Aug appears twice with identical values</t>
  </si>
  <si>
    <t>Kept row 20; removed row 21</t>
  </si>
  <si>
    <t>TrailMart 24-Aug = 566,594.50, about 10x a normal week (other weeks $54K–$70K; orders 142 are normal)</t>
  </si>
  <si>
    <t>Other Wholesale 20-Jul returns = -720.18 (negative)</t>
  </si>
  <si>
    <t>Other Wholesale week of 14-Sep is missing: 38 unique rows vs 39 expected (13 weeks x 3)</t>
  </si>
  <si>
    <t>Added a blank, flagged row; NOT estimated</t>
  </si>
  <si>
    <t>Q3 budget (USD)</t>
  </si>
  <si>
    <t>On-time target</t>
  </si>
  <si>
    <t>DTC returns target</t>
  </si>
  <si>
    <t>DTC Q3 returns (USD)</t>
  </si>
  <si>
    <t>DTC Q3 returns rate</t>
  </si>
  <si>
    <t>Weekly KPIs</t>
  </si>
  <si>
    <t>DTC gross (USD)</t>
  </si>
  <si>
    <t>DTC returns (USD)</t>
  </si>
  <si>
    <t>DTC returns rate</t>
  </si>
  <si>
    <t>Returns target 7.0%</t>
  </si>
  <si>
    <t>On-time target 95%</t>
  </si>
  <si>
    <t>Q3 actual (USD)</t>
  </si>
  <si>
    <t>Variance (USD)</t>
  </si>
  <si>
    <t>Variance %</t>
  </si>
  <si>
    <t>Weeks of data (of 13)</t>
  </si>
  <si>
    <t>Q3 sales (USD)</t>
  </si>
  <si>
    <t>Share of Q3</t>
  </si>
  <si>
    <t>H1 avg / week</t>
  </si>
  <si>
    <t>H2 avg / week</t>
  </si>
  <si>
    <t>H2 vs H1</t>
  </si>
  <si>
    <t>So what</t>
  </si>
  <si>
    <t>1. Are we on budget by channel?</t>
  </si>
  <si>
    <t>2. Are DTC returns getting worse?</t>
  </si>
  <si>
    <t>3. Is on-time shipping holding up before peak?</t>
  </si>
  <si>
    <t>4. Which channel is carrying us?</t>
  </si>
  <si>
    <t>Second-method check: pivot table on Clean_Q3 (refresh after any change)</t>
  </si>
  <si>
    <t>Pivot gross (USD)</t>
  </si>
  <si>
    <t>Pivot returns (USD)</t>
  </si>
  <si>
    <t>Reconciliation: Dashboard formulas (SUMIFS) vs pivot</t>
  </si>
  <si>
    <t>Dashboard gross</t>
  </si>
  <si>
    <t>Pivot gross</t>
  </si>
  <si>
    <t>Difference</t>
  </si>
  <si>
    <t>Dashboard DTC returns vs pivot</t>
  </si>
  <si>
    <t>Status</t>
  </si>
  <si>
    <t>Covering email to Dana (draft, 5 sentences)</t>
  </si>
  <si>
    <t>Actual time:</t>
  </si>
  <si>
    <t>Hardest call:</t>
  </si>
  <si>
    <t>What I'd change:</t>
  </si>
  <si>
    <t>Rebuild the cleaning in Power Query so every step is recorded and repeatable for Q4, and ask Tom for an export with a fixed number format.</t>
  </si>
  <si>
    <t>Excluded (blank on Clean); NOT corrected</t>
  </si>
  <si>
    <t>Normalized date mask (MM/DD/YYYY); all others are YYYY-MM-DD</t>
  </si>
  <si>
    <t>Cleaning log</t>
  </si>
  <si>
    <t>Yes. Weekly DTC returns went from 6.3% (29 Jun) to 8.9% (21 Sep), with a high of 10.4%. Q3 rate is 8.1% against a 7.0% target, and has been above target every week since 27 Jul.</t>
  </si>
  <si>
    <t>No. All channels were below 95% by September. Weeks below target: DTC 6, TrailMart 4, Other Wholesale 2 (Other Wholesale 14 Sep missing). DTC was lowest at 91.9%.</t>
  </si>
  <si>
    <t>TrailMart is the largest channel at 45.1% of Q3 sales, but its weekly average fell 8.5% from H1 to H2 (24 Aug excluded). DTC grew 5.9% and Other Wholesale grew 5.5%.</t>
  </si>
  <si>
    <t>2. DTC returns: the weekly returns rate went from 6.3% to 8.9% and was above the 7.0% target in 9 of 13 weeks. Returns above target cost $6,121, about 23% of DTC's gain over budget.</t>
  </si>
  <si>
    <t>3. Shipping: in the last week of Q3, all three channels were below the 95% on-time target (DTC 91.9%, TrailMart 93.8%, Other Wholesale 93.8%). With peak season coming and peak temps reduced from 25 to 20, on-time shipping is likely to drop further unless capacity is protected.</t>
  </si>
  <si>
    <t>Q3 budget and targets</t>
  </si>
  <si>
    <r>
      <rPr>
        <b/>
        <sz val="9"/>
        <color theme="1"/>
        <rFont val="Aptos Narrow"/>
        <family val="2"/>
        <scheme val="minor"/>
      </rPr>
      <t>On-time shipping target:</t>
    </r>
    <r>
      <rPr>
        <sz val="9"/>
        <color theme="1"/>
        <rFont val="Aptos Narrow"/>
        <family val="2"/>
        <scheme val="minor"/>
      </rPr>
      <t xml:space="preserve"> 95% or higher, every channel, every week.</t>
    </r>
  </si>
  <si>
    <r>
      <rPr>
        <b/>
        <sz val="9"/>
        <color theme="1"/>
        <rFont val="Aptos Narrow"/>
        <family val="2"/>
        <scheme val="minor"/>
      </rPr>
      <t xml:space="preserve">DTC returns target: </t>
    </r>
    <r>
      <rPr>
        <sz val="9"/>
        <color theme="1"/>
        <rFont val="Aptos Narrow"/>
        <family val="2"/>
        <scheme val="minor"/>
      </rPr>
      <t>returns of 7.0% of gross sales or lower.</t>
    </r>
  </si>
  <si>
    <t xml:space="preserve">Supporting calculations </t>
  </si>
  <si>
    <t>TrailMart 24 Aug probable value (raw ÷ 10)</t>
  </si>
  <si>
    <t>Budget for weeks reported (USD)</t>
  </si>
  <si>
    <t>Full Q3 budget (USD, ref.)</t>
  </si>
  <si>
    <t>1. Budget: for the weeks reported, Q3 sales were $22,603 (1.4%) below budget. TrailMart is the whole gap at −$54,026 (−6.8%), while DTC is $26,379 ahead and Other Wholesale $5,044 ahead. If TrailMart's 24 Aug is a decimal slip ($56,659.45), TrailMart is −$63,521 (−7.4%) over 13 weeks; confirm with Tom before the board meeting.</t>
  </si>
  <si>
    <t>Mostly. For the weeks reported, sales were $1,642,012 against $1,664,615 (−1.4%). DTC +5.1% (13 weeks), TrailMart −6.8% and Other Wholesale +1.4% (12 weeks each). The full $1,760,000 budget is shown for reference only.</t>
  </si>
  <si>
    <t>Hi Dana, attached is the one-page Q3 dashboard for Monday, cleaned from Tom's weekly export (11 fixes listed on the Cleaning log). 
Comparing like for like on the weeks reported, Q3 sales were $22,603 (1.4%) under budget, driven by TrailMart (−6.8%), while DTC beat budget (+5.1%) but its returns ran at 8.1% against the 7.0% target. 
On-time shipping fell below 95% in every channel by late September, which matters with peak coming. 
Data gaps: Other Wholesale's 14 Sep week is missing, and TrailMart's 24 Aug sales ($566,595, about 10x a normal week) can't be trusted, so both are excluded from the headline and budgets are pro-rated to the weeks reported. 
The dashboard also shows TrailMart with 24 Aug at $56,659.45 (−7.4% vs budget), flagged as a probable decimal slip pending Tom, who should confirm both gaps after close.</t>
  </si>
  <si>
    <t>2 hrs against a 90-minute box (third session in a row over 90 minutes).</t>
  </si>
  <si>
    <t>The hardest call was TrailMart 24 Aug ($566,594.50): 142 orders is a normal week and the figure is exactly $56,659.45 with the decimal shifted one place, so I kept it out of the headline and showed the corrected view separately, flagged as a probable decimal slip pending Tom. Other Wholesale also had a negative return (−$720.18, 20 Jul) and no row for the week of 14 Sep, and because I could not tell whether that was missing data or a week with no sales, both are excluded and flagged for Tom.</t>
  </si>
  <si>
    <t>Excluded from headline totals (cell left blank on Clean); corrected view shown separately on Dashboard at $56,659.45, flagged as probable decimal slip, pending Tom</t>
  </si>
  <si>
    <t>Budget table supplied with the export (not part of Tom's weekly data)</t>
  </si>
  <si>
    <t>Used as Dashboard budget inputs. Raw data rows untouched.</t>
  </si>
  <si>
    <t>Scenario, pending Tom: TrailMart with 24 Aug at $56,659.45 (probable decimal slip)</t>
  </si>
  <si>
    <t>Three-line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</si>
</sst>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%"/>
    <numFmt numFmtId="165" formatCode="dd\-mmm\-yyyy"/>
    <numFmt numFmtId="166" formatCode="yyyy\-mm\-dd"/>
    <numFmt numFmtId="167" formatCode="\+0.0%;\-0.0%;\-"/>
    <numFmt numFmtId="168" formatCode="[$$-409]#,##0;\([$$-409]#,##0\);\-"/>
    <numFmt numFmtId="169" formatCode="[$$-409]#,##0"/>
    <numFmt numFmtId="170" formatCode="[$$-409]#,##0.00;\([$$-409]#,##0.00\);\-"/>
    <numFmt numFmtId="171" formatCode="d\ mmm\ yyyy"/>
    <numFmt numFmtId="172" formatCode="[$$-409]#,##0.00"/>
  </numFmts>
  <fonts count="23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z val="9"/>
      <color rgb="FFC00000"/>
      <name val="Aptos Narrow"/>
      <family val="2"/>
      <scheme val="minor"/>
    </font>
    <font>
      <sz val="9"/>
      <color rgb="FF0000FF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4"/>
      <color rgb="FFC00000"/>
      <name val="Aptos Narrow"/>
      <family val="2"/>
      <scheme val="minor"/>
    </font>
    <font>
      <sz val="11"/>
      <name val="Aptos Narrow"/>
      <family val="2"/>
      <scheme val="minor"/>
    </font>
    <font>
      <b/>
      <sz val="9"/>
      <name val="Aptos Narrow"/>
      <family val="2"/>
      <scheme val="minor"/>
    </font>
    <font>
      <sz val="9"/>
      <name val="Aptos Narrow"/>
      <family val="2"/>
      <scheme val="minor"/>
    </font>
    <font>
      <b/>
      <sz val="9"/>
      <color rgb="FF1F3864"/>
      <name val="Calibri"/>
      <family val="2"/>
    </font>
    <font>
      <sz val="9"/>
      <color theme="1"/>
      <name val="Calibri"/>
      <family val="2"/>
    </font>
    <font>
      <i/>
      <sz val="9"/>
      <color rgb="FF595959"/>
      <name val="Calibri"/>
      <family val="2"/>
    </font>
    <font>
      <b/>
      <sz val="9"/>
      <color rgb="FFC00000"/>
      <name val="Calibri"/>
      <family val="2"/>
    </font>
    <font>
      <b/>
      <sz val="9"/>
      <color rgb="FFFFFFFF"/>
      <name val="Calibri"/>
      <family val="2"/>
    </font>
    <font>
      <b/>
      <sz val="9"/>
      <color theme="1"/>
      <name val="Calibri"/>
      <family val="2"/>
    </font>
    <font>
      <i/>
      <sz val="9"/>
      <color rgb="FFC0000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</font>
    <font>
      <b/>
      <sz val="11"/>
      <color rgb="FF1F3864"/>
      <name val="Calibri"/>
      <family val="2"/>
    </font>
    <font>
      <b/>
      <sz val="12"/>
      <color rgb="FFFF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F38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pivotButton="1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0" fontId="4" fillId="0" borderId="0" xfId="0" applyFont="1"/>
    <xf numFmtId="0" fontId="3" fillId="0" borderId="0" xfId="0" applyFont="1"/>
    <xf numFmtId="165" fontId="5" fillId="0" borderId="0" xfId="0" applyNumberFormat="1" applyFont="1"/>
    <xf numFmtId="166" fontId="1" fillId="0" borderId="0" xfId="0" applyNumberFormat="1" applyFont="1"/>
    <xf numFmtId="3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left"/>
    </xf>
    <xf numFmtId="0" fontId="6" fillId="0" borderId="0" xfId="0" applyFont="1"/>
    <xf numFmtId="2" fontId="6" fillId="0" borderId="0" xfId="0" applyNumberFormat="1" applyFont="1"/>
    <xf numFmtId="0" fontId="7" fillId="0" borderId="0" xfId="0" applyFont="1"/>
    <xf numFmtId="0" fontId="9" fillId="0" borderId="1" xfId="0" applyFont="1" applyBorder="1" applyAlignment="1">
      <alignment wrapText="1"/>
    </xf>
    <xf numFmtId="0" fontId="10" fillId="0" borderId="1" xfId="0" applyFont="1" applyBorder="1"/>
    <xf numFmtId="170" fontId="10" fillId="0" borderId="1" xfId="0" applyNumberFormat="1" applyFont="1" applyBorder="1"/>
    <xf numFmtId="0" fontId="2" fillId="0" borderId="1" xfId="0" applyFont="1" applyBorder="1"/>
    <xf numFmtId="3" fontId="1" fillId="0" borderId="1" xfId="0" applyNumberFormat="1" applyFont="1" applyBorder="1"/>
    <xf numFmtId="0" fontId="1" fillId="2" borderId="0" xfId="0" applyFont="1" applyFill="1"/>
    <xf numFmtId="0" fontId="2" fillId="2" borderId="0" xfId="0" applyFont="1" applyFill="1"/>
    <xf numFmtId="4" fontId="1" fillId="2" borderId="0" xfId="0" applyNumberFormat="1" applyFont="1" applyFill="1"/>
    <xf numFmtId="166" fontId="1" fillId="2" borderId="0" xfId="0" applyNumberFormat="1" applyFont="1" applyFill="1"/>
    <xf numFmtId="3" fontId="1" fillId="2" borderId="0" xfId="0" applyNumberFormat="1" applyFont="1" applyFill="1"/>
    <xf numFmtId="164" fontId="1" fillId="2" borderId="0" xfId="0" applyNumberFormat="1" applyFont="1" applyFill="1"/>
    <xf numFmtId="0" fontId="9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2" fillId="0" borderId="0" xfId="0" applyFont="1"/>
    <xf numFmtId="0" fontId="11" fillId="0" borderId="0" xfId="0" applyFont="1"/>
    <xf numFmtId="0" fontId="16" fillId="0" borderId="0" xfId="0" applyFont="1"/>
    <xf numFmtId="0" fontId="17" fillId="0" borderId="0" xfId="0" applyFont="1"/>
    <xf numFmtId="0" fontId="16" fillId="0" borderId="1" xfId="0" applyFont="1" applyBorder="1" applyAlignment="1">
      <alignment wrapText="1"/>
    </xf>
    <xf numFmtId="16" fontId="12" fillId="0" borderId="1" xfId="0" applyNumberFormat="1" applyFont="1" applyBorder="1"/>
    <xf numFmtId="0" fontId="12" fillId="0" borderId="1" xfId="0" applyFont="1" applyBorder="1"/>
    <xf numFmtId="169" fontId="12" fillId="0" borderId="1" xfId="0" applyNumberFormat="1" applyFont="1" applyBorder="1"/>
    <xf numFmtId="164" fontId="12" fillId="0" borderId="1" xfId="0" applyNumberFormat="1" applyFont="1" applyBorder="1"/>
    <xf numFmtId="0" fontId="16" fillId="0" borderId="1" xfId="0" applyFont="1" applyBorder="1"/>
    <xf numFmtId="0" fontId="18" fillId="0" borderId="1" xfId="0" applyFont="1" applyBorder="1"/>
    <xf numFmtId="169" fontId="19" fillId="0" borderId="1" xfId="0" applyNumberFormat="1" applyFont="1" applyBorder="1"/>
    <xf numFmtId="0" fontId="8" fillId="0" borderId="0" xfId="0" applyFont="1"/>
    <xf numFmtId="164" fontId="19" fillId="0" borderId="1" xfId="0" applyNumberFormat="1" applyFont="1" applyBorder="1"/>
    <xf numFmtId="0" fontId="19" fillId="0" borderId="0" xfId="0" applyFont="1"/>
    <xf numFmtId="0" fontId="22" fillId="0" borderId="0" xfId="0" applyFont="1"/>
    <xf numFmtId="0" fontId="16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 applyAlignment="1">
      <alignment vertical="top" wrapText="1"/>
    </xf>
    <xf numFmtId="0" fontId="13" fillId="0" borderId="0" xfId="0" applyFont="1"/>
    <xf numFmtId="0" fontId="20" fillId="0" borderId="0" xfId="0" applyFont="1" applyAlignment="1">
      <alignment vertical="top" wrapText="1"/>
    </xf>
    <xf numFmtId="0" fontId="21" fillId="0" borderId="0" xfId="0" applyFont="1"/>
    <xf numFmtId="0" fontId="19" fillId="0" borderId="0" xfId="0" applyFont="1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7" fontId="17" fillId="0" borderId="0" xfId="0" applyNumberFormat="1" applyFont="1" applyBorder="1" applyAlignment="1">
      <alignment vertical="center"/>
    </xf>
    <xf numFmtId="0" fontId="1" fillId="0" borderId="0" xfId="0" applyFont="1" applyFill="1"/>
    <xf numFmtId="0" fontId="12" fillId="0" borderId="0" xfId="0" applyFont="1" applyFill="1"/>
    <xf numFmtId="0" fontId="15" fillId="0" borderId="0" xfId="0" applyFont="1" applyFill="1" applyAlignment="1">
      <alignment horizontal="center" wrapText="1"/>
    </xf>
    <xf numFmtId="167" fontId="12" fillId="0" borderId="0" xfId="0" applyNumberFormat="1" applyFont="1" applyFill="1"/>
    <xf numFmtId="167" fontId="16" fillId="0" borderId="0" xfId="0" applyNumberFormat="1" applyFont="1" applyFill="1" applyBorder="1"/>
    <xf numFmtId="167" fontId="17" fillId="0" borderId="0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wrapText="1"/>
    </xf>
    <xf numFmtId="164" fontId="12" fillId="0" borderId="1" xfId="0" applyNumberFormat="1" applyFont="1" applyFill="1" applyBorder="1"/>
    <xf numFmtId="167" fontId="12" fillId="0" borderId="1" xfId="0" applyNumberFormat="1" applyFont="1" applyBorder="1"/>
    <xf numFmtId="169" fontId="16" fillId="0" borderId="1" xfId="0" applyNumberFormat="1" applyFont="1" applyBorder="1"/>
    <xf numFmtId="164" fontId="16" fillId="0" borderId="1" xfId="0" applyNumberFormat="1" applyFont="1" applyBorder="1"/>
    <xf numFmtId="167" fontId="16" fillId="0" borderId="1" xfId="0" applyNumberFormat="1" applyFont="1" applyBorder="1"/>
    <xf numFmtId="0" fontId="17" fillId="0" borderId="0" xfId="0" applyFont="1" applyBorder="1" applyAlignment="1">
      <alignment vertical="center" wrapText="1"/>
    </xf>
    <xf numFmtId="168" fontId="17" fillId="0" borderId="0" xfId="0" applyNumberFormat="1" applyFont="1" applyBorder="1" applyAlignment="1">
      <alignment vertical="center" wrapText="1"/>
    </xf>
    <xf numFmtId="1" fontId="17" fillId="0" borderId="0" xfId="0" applyNumberFormat="1" applyFont="1" applyBorder="1" applyAlignment="1">
      <alignment horizontal="center" vertical="center" wrapText="1"/>
    </xf>
    <xf numFmtId="168" fontId="12" fillId="0" borderId="1" xfId="0" applyNumberFormat="1" applyFont="1" applyBorder="1"/>
    <xf numFmtId="1" fontId="12" fillId="0" borderId="1" xfId="0" applyNumberFormat="1" applyFont="1" applyFill="1" applyBorder="1" applyAlignment="1">
      <alignment horizontal="center"/>
    </xf>
    <xf numFmtId="168" fontId="12" fillId="0" borderId="1" xfId="0" applyNumberFormat="1" applyFont="1" applyFill="1" applyBorder="1"/>
    <xf numFmtId="168" fontId="12" fillId="0" borderId="1" xfId="0" applyNumberFormat="1" applyFont="1" applyFill="1" applyBorder="1" applyAlignment="1">
      <alignment horizontal="center"/>
    </xf>
    <xf numFmtId="168" fontId="14" fillId="0" borderId="1" xfId="0" applyNumberFormat="1" applyFont="1" applyFill="1" applyBorder="1" applyAlignment="1">
      <alignment horizontal="center"/>
    </xf>
    <xf numFmtId="168" fontId="16" fillId="0" borderId="1" xfId="0" applyNumberFormat="1" applyFont="1" applyBorder="1"/>
    <xf numFmtId="1" fontId="16" fillId="0" borderId="1" xfId="0" applyNumberFormat="1" applyFont="1" applyFill="1" applyBorder="1" applyAlignment="1">
      <alignment horizontal="center"/>
    </xf>
    <xf numFmtId="168" fontId="16" fillId="0" borderId="1" xfId="0" applyNumberFormat="1" applyFont="1" applyFill="1" applyBorder="1"/>
    <xf numFmtId="0" fontId="15" fillId="3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wrapText="1"/>
    </xf>
    <xf numFmtId="172" fontId="10" fillId="0" borderId="1" xfId="0" applyNumberFormat="1" applyFont="1" applyBorder="1"/>
    <xf numFmtId="171" fontId="19" fillId="0" borderId="1" xfId="0" applyNumberFormat="1" applyFont="1" applyBorder="1"/>
    <xf numFmtId="0" fontId="18" fillId="0" borderId="2" xfId="0" applyFont="1" applyBorder="1"/>
    <xf numFmtId="0" fontId="19" fillId="0" borderId="2" xfId="0" applyFont="1" applyBorder="1"/>
    <xf numFmtId="168" fontId="17" fillId="4" borderId="0" xfId="0" applyNumberFormat="1" applyFont="1" applyFill="1" applyBorder="1" applyAlignment="1">
      <alignment vertical="center" wrapText="1"/>
    </xf>
    <xf numFmtId="1" fontId="17" fillId="4" borderId="0" xfId="0" applyNumberFormat="1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vertical="center" wrapText="1"/>
    </xf>
    <xf numFmtId="167" fontId="17" fillId="4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28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  <fill>
        <patternFill patternType="solid">
          <fgColor indexed="64"/>
          <bgColor rgb="FFFCE4D6"/>
        </patternFill>
      </fill>
    </dxf>
    <dxf>
      <font>
        <color rgb="FFC00000"/>
      </font>
      <fill>
        <patternFill patternType="solid">
          <fgColor indexed="64"/>
          <bgColor rgb="FFFCE4D6"/>
        </patternFill>
      </fill>
    </dxf>
    <dxf>
      <font>
        <strike val="0"/>
        <outline val="0"/>
        <shadow val="0"/>
        <u val="none"/>
        <vertAlign val="baseline"/>
        <sz val="9"/>
        <name val="Aptos Narrow"/>
        <family val="2"/>
        <scheme val="minor"/>
      </font>
      <numFmt numFmtId="164" formatCode="0.0%"/>
    </dxf>
    <dxf>
      <font>
        <strike val="0"/>
        <outline val="0"/>
        <shadow val="0"/>
        <u val="none"/>
        <vertAlign val="baseline"/>
        <sz val="9"/>
        <name val="Aptos Narrow"/>
        <family val="2"/>
        <scheme val="minor"/>
      </font>
      <numFmt numFmtId="4" formatCode="#,##0.00"/>
    </dxf>
    <dxf>
      <font>
        <strike val="0"/>
        <outline val="0"/>
        <shadow val="0"/>
        <u val="none"/>
        <vertAlign val="baseline"/>
        <sz val="9"/>
        <name val="Aptos Narrow"/>
        <family val="2"/>
        <scheme val="minor"/>
      </font>
      <numFmt numFmtId="4" formatCode="#,##0.00"/>
    </dxf>
    <dxf>
      <font>
        <strike val="0"/>
        <outline val="0"/>
        <shadow val="0"/>
        <u val="none"/>
        <vertAlign val="baseline"/>
        <sz val="9"/>
        <name val="Aptos Narrow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9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name val="Aptos Narrow"/>
        <family val="2"/>
        <scheme val="minor"/>
      </font>
      <numFmt numFmtId="166" formatCode="yyyy\-mm\-dd"/>
    </dxf>
    <dxf>
      <font>
        <strike val="0"/>
        <outline val="0"/>
        <shadow val="0"/>
        <u val="none"/>
        <vertAlign val="baseline"/>
        <sz val="9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name val="Aptos Narrow"/>
        <family val="2"/>
        <scheme val="minor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4" formatCode="#,##0.00"/>
    </dxf>
    <dxf>
      <font>
        <strike val="0"/>
        <outline val="0"/>
        <shadow val="0"/>
        <u val="none"/>
        <vertAlign val="baseline"/>
        <sz val="8"/>
      </font>
    </dxf>
    <dxf>
      <font>
        <strike val="0"/>
        <outline val="0"/>
        <shadow val="0"/>
        <u val="none"/>
        <vertAlign val="baseline"/>
        <sz val="8"/>
      </font>
    </dxf>
    <dxf>
      <font>
        <strike val="0"/>
        <outline val="0"/>
        <shadow val="0"/>
        <u val="none"/>
        <vertAlign val="baseline"/>
        <sz val="8"/>
      </font>
      <numFmt numFmtId="2" formatCode="0.00"/>
    </dxf>
    <dxf>
      <font>
        <strike val="0"/>
        <outline val="0"/>
        <shadow val="0"/>
        <u val="none"/>
        <vertAlign val="baseline"/>
        <sz val="8"/>
      </font>
    </dxf>
    <dxf>
      <font>
        <strike val="0"/>
        <outline val="0"/>
        <shadow val="0"/>
        <u val="none"/>
        <vertAlign val="baseline"/>
        <sz val="8"/>
      </font>
      <numFmt numFmtId="0" formatCode="General"/>
    </dxf>
    <dxf>
      <font>
        <strike val="0"/>
        <outline val="0"/>
        <shadow val="0"/>
        <u val="none"/>
        <vertAlign val="baseline"/>
        <sz val="8"/>
      </font>
      <numFmt numFmtId="0" formatCode="General"/>
    </dxf>
    <dxf>
      <font>
        <strike val="0"/>
        <outline val="0"/>
        <shadow val="0"/>
        <u val="none"/>
        <vertAlign val="baseline"/>
        <sz val="8"/>
      </font>
    </dxf>
    <dxf>
      <font>
        <strike val="0"/>
        <outline val="0"/>
        <shadow val="0"/>
        <u val="none"/>
        <vertAlign val="baseline"/>
        <sz val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pivotCacheDefinition" Target="pivotCache/pivotCacheDefinition1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ptos Narrow"/>
                <a:cs typeface="Aptos Narrow"/>
              </a:defRPr>
            </a:pPr>
            <a:r>
              <a:rPr lang="en-US"/>
              <a:t>Q3 gross sales: actual vs budget for weeks reported (USD)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Narrow"/>
              <a:ea typeface="Aptos Narrow"/>
              <a:cs typeface="Aptos Narrow"/>
            </a:defRPr>
          </a:pPr>
          <a:endParaRPr lang="en-K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Dashboard!$B$11</c:f>
              <c:strCache>
                <c:ptCount val="1"/>
                <c:pt idx="0">
                  <c:v>Q3 actual (USD)</c:v>
                </c:pt>
              </c:strCache>
            </c:strRef>
          </c:tx>
          <c:spPr>
            <a:solidFill>
              <a:srgbClr val="1F3864"/>
            </a:solidFill>
            <a:ln>
              <a:noFill/>
            </a:ln>
            <a:effectLst/>
          </c:spPr>
          <c:invertIfNegative val="0"/>
          <c:dLbls>
            <c:numFmt formatCode="[$$-409]#,##0,&quot;K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/>
                    <a:ea typeface="Aptos Narrow"/>
                    <a:cs typeface="Aptos Narrow"/>
                  </a:defRPr>
                </a:pPr>
                <a:endParaRPr lang="en-K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Dashboard!$A$12:$A$14</c:f>
              <c:strCache>
                <c:ptCount val="3"/>
                <c:pt idx="0">
                  <c:v>DTC Online</c:v>
                </c:pt>
                <c:pt idx="1">
                  <c:v>TrailMart</c:v>
                </c:pt>
                <c:pt idx="2">
                  <c:v>Other Wholesale</c:v>
                </c:pt>
              </c:strCache>
            </c:strRef>
          </c:cat>
          <c:val>
            <c:numRef>
              <c:f>Dashboard!$B$12:$B$14</c:f>
              <c:numCache>
                <c:formatCode>[$$-409]#,##0;\([$$-409]#,##0\);\-</c:formatCode>
                <c:ptCount val="3"/>
                <c:pt idx="0">
                  <c:v>546379.29999999993</c:v>
                </c:pt>
                <c:pt idx="1">
                  <c:v>739819.81000000017</c:v>
                </c:pt>
                <c:pt idx="2">
                  <c:v>355812.79000000004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92-4E2A-BABD-787B8F2C5084}"/>
            </c:ext>
          </c:extLst>
        </c:ser>
        <c:ser>
          <c:idx val="1"/>
          <c:order val="1"/>
          <c:tx>
            <c:v>Budget for weeks reported (USD)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Dashboard!$A$12:$A$14</c:f>
              <c:strCache>
                <c:ptCount val="3"/>
                <c:pt idx="0">
                  <c:v>DTC Online</c:v>
                </c:pt>
                <c:pt idx="1">
                  <c:v>TrailMart</c:v>
                </c:pt>
                <c:pt idx="2">
                  <c:v>Other Wholesale</c:v>
                </c:pt>
              </c:strCache>
            </c:strRef>
          </c:cat>
          <c:val>
            <c:numRef>
              <c:f>Dashboard!$E$12:$E$14</c:f>
              <c:numCache>
                <c:formatCode>[$$-409]#,##0;\([$$-409]#,##0\);\-</c:formatCode>
                <c:ptCount val="3"/>
                <c:pt idx="0">
                  <c:v>520000</c:v>
                </c:pt>
                <c:pt idx="1">
                  <c:v>793846.15384615387</c:v>
                </c:pt>
                <c:pt idx="2">
                  <c:v>350769.23076923075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92-4E2A-BABD-787B8F2C5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05638864"/>
        <c:axId val="805637784"/>
      </c:barChart>
      <c:catAx>
        <c:axId val="80563886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ptos Narrow"/>
                <a:cs typeface="Aptos Narrow"/>
              </a:defRPr>
            </a:pPr>
            <a:endParaRPr lang="en-KE"/>
          </a:p>
        </c:txPr>
        <c:crossAx val="805637784"/>
        <c:crosses val="autoZero"/>
        <c:auto val="1"/>
        <c:lblAlgn val="ctr"/>
        <c:lblOffset val="100"/>
        <c:noMultiLvlLbl val="0"/>
      </c:catAx>
      <c:valAx>
        <c:axId val="80563778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$-409]#,##0,&quot;K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ptos Narrow"/>
                <a:cs typeface="Aptos Narrow"/>
              </a:defRPr>
            </a:pPr>
            <a:endParaRPr lang="en-KE"/>
          </a:p>
        </c:txPr>
        <c:crossAx val="805638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Narrow"/>
              <a:ea typeface="Aptos Narrow"/>
              <a:cs typeface="Aptos Narrow"/>
            </a:defRPr>
          </a:pPr>
          <a:endParaRPr lang="en-K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ptos Narrow"/>
          <a:ea typeface="Aptos Narrow"/>
          <a:cs typeface="Aptos Narrow"/>
        </a:defRPr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ptos Narrow"/>
                <a:cs typeface="Aptos Narrow"/>
              </a:defRPr>
            </a:pPr>
            <a:r>
              <a:rPr lang="en-US"/>
              <a:t>DTC returns rate by week vs 7.0% target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Narrow"/>
              <a:ea typeface="Aptos Narrow"/>
              <a:cs typeface="Aptos Narrow"/>
            </a:defRPr>
          </a:pPr>
          <a:endParaRPr lang="en-K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Dashboard!$E$66</c:f>
              <c:strCache>
                <c:ptCount val="1"/>
                <c:pt idx="0">
                  <c:v>DTC returns rate</c:v>
                </c:pt>
              </c:strCache>
            </c:strRef>
          </c:tx>
          <c:spPr>
            <a:ln w="28575" cap="rnd">
              <a:solidFill>
                <a:srgbClr val="1F3864"/>
              </a:solidFill>
              <a:prstDash val="solid"/>
              <a:round/>
            </a:ln>
            <a:effectLst/>
          </c:spPr>
          <c:marker>
            <c:symbol val="circle"/>
            <c:size val="4"/>
            <c:spPr>
              <a:solidFill>
                <a:srgbClr val="1F3864"/>
              </a:solidFill>
              <a:ln w="9525">
                <a:solidFill>
                  <a:srgbClr val="1F3864"/>
                </a:solidFill>
                <a:prstDash val="solid"/>
              </a:ln>
              <a:effectLst/>
            </c:spPr>
          </c:marker>
          <c:cat>
            <c:numRef>
              <c:f>Dashboard!$A$67:$A$79</c:f>
              <c:numCache>
                <c:formatCode>d\-mmm</c:formatCode>
                <c:ptCount val="13"/>
                <c:pt idx="0">
                  <c:v>46202</c:v>
                </c:pt>
                <c:pt idx="1">
                  <c:v>46209</c:v>
                </c:pt>
                <c:pt idx="2">
                  <c:v>46216</c:v>
                </c:pt>
                <c:pt idx="3">
                  <c:v>46223</c:v>
                </c:pt>
                <c:pt idx="4">
                  <c:v>46230</c:v>
                </c:pt>
                <c:pt idx="5">
                  <c:v>46237</c:v>
                </c:pt>
                <c:pt idx="6">
                  <c:v>46244</c:v>
                </c:pt>
                <c:pt idx="7">
                  <c:v>46251</c:v>
                </c:pt>
                <c:pt idx="8">
                  <c:v>46258</c:v>
                </c:pt>
                <c:pt idx="9">
                  <c:v>46265</c:v>
                </c:pt>
                <c:pt idx="10">
                  <c:v>46272</c:v>
                </c:pt>
                <c:pt idx="11">
                  <c:v>46279</c:v>
                </c:pt>
                <c:pt idx="12">
                  <c:v>46286</c:v>
                </c:pt>
              </c:numCache>
            </c:numRef>
          </c:cat>
          <c:val>
            <c:numRef>
              <c:f>Dashboard!$E$67:$E$79</c:f>
              <c:numCache>
                <c:formatCode>0.0%</c:formatCode>
                <c:ptCount val="13"/>
                <c:pt idx="0">
                  <c:v>6.2716863569721143E-2</c:v>
                </c:pt>
                <c:pt idx="1">
                  <c:v>5.6333494521669344E-2</c:v>
                </c:pt>
                <c:pt idx="2">
                  <c:v>6.3150505921620012E-2</c:v>
                </c:pt>
                <c:pt idx="3">
                  <c:v>6.6569259616884452E-2</c:v>
                </c:pt>
                <c:pt idx="4">
                  <c:v>8.4659842626087445E-2</c:v>
                </c:pt>
                <c:pt idx="5">
                  <c:v>8.204068599412577E-2</c:v>
                </c:pt>
                <c:pt idx="6">
                  <c:v>8.8822868196563334E-2</c:v>
                </c:pt>
                <c:pt idx="7">
                  <c:v>8.1735584866100539E-2</c:v>
                </c:pt>
                <c:pt idx="8">
                  <c:v>0.10008420175129663</c:v>
                </c:pt>
                <c:pt idx="9">
                  <c:v>0.1039376276820443</c:v>
                </c:pt>
                <c:pt idx="10">
                  <c:v>8.3700698174279567E-2</c:v>
                </c:pt>
                <c:pt idx="11">
                  <c:v>8.447846309462699E-2</c:v>
                </c:pt>
                <c:pt idx="12">
                  <c:v>8.9328109544834139E-2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FA-46E4-89C8-8374B04B9E57}"/>
            </c:ext>
          </c:extLst>
        </c:ser>
        <c:ser>
          <c:idx val="1"/>
          <c:order val="1"/>
          <c:tx>
            <c:strRef>
              <c:f>Dashboard!$F$66</c:f>
              <c:strCache>
                <c:ptCount val="1"/>
                <c:pt idx="0">
                  <c:v>Returns target 7.0%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Dashboard!$A$67:$A$79</c:f>
              <c:numCache>
                <c:formatCode>d\-mmm</c:formatCode>
                <c:ptCount val="13"/>
                <c:pt idx="0">
                  <c:v>46202</c:v>
                </c:pt>
                <c:pt idx="1">
                  <c:v>46209</c:v>
                </c:pt>
                <c:pt idx="2">
                  <c:v>46216</c:v>
                </c:pt>
                <c:pt idx="3">
                  <c:v>46223</c:v>
                </c:pt>
                <c:pt idx="4">
                  <c:v>46230</c:v>
                </c:pt>
                <c:pt idx="5">
                  <c:v>46237</c:v>
                </c:pt>
                <c:pt idx="6">
                  <c:v>46244</c:v>
                </c:pt>
                <c:pt idx="7">
                  <c:v>46251</c:v>
                </c:pt>
                <c:pt idx="8">
                  <c:v>46258</c:v>
                </c:pt>
                <c:pt idx="9">
                  <c:v>46265</c:v>
                </c:pt>
                <c:pt idx="10">
                  <c:v>46272</c:v>
                </c:pt>
                <c:pt idx="11">
                  <c:v>46279</c:v>
                </c:pt>
                <c:pt idx="12">
                  <c:v>46286</c:v>
                </c:pt>
              </c:numCache>
            </c:numRef>
          </c:cat>
          <c:val>
            <c:numRef>
              <c:f>Dashboard!$F$67:$F$79</c:f>
              <c:numCache>
                <c:formatCode>0.0%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FA-46E4-89C8-8374B04B9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2975728"/>
        <c:axId val="802976448"/>
      </c:lineChart>
      <c:dateAx>
        <c:axId val="802975728"/>
        <c:scaling>
          <c:orientation val="minMax"/>
        </c:scaling>
        <c:delete val="0"/>
        <c:axPos val="b"/>
        <c:numFmt formatCode="d\ m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ptos Narrow"/>
                <a:cs typeface="Aptos Narrow"/>
              </a:defRPr>
            </a:pPr>
            <a:endParaRPr lang="en-KE"/>
          </a:p>
        </c:txPr>
        <c:crossAx val="802976448"/>
        <c:crosses val="autoZero"/>
        <c:auto val="1"/>
        <c:lblOffset val="100"/>
        <c:baseTimeUnit val="days"/>
      </c:dateAx>
      <c:valAx>
        <c:axId val="802976448"/>
        <c:scaling>
          <c:orientation val="minMax"/>
          <c:min val="0.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ptos Narrow"/>
                <a:cs typeface="Aptos Narrow"/>
              </a:defRPr>
            </a:pPr>
            <a:endParaRPr lang="en-KE"/>
          </a:p>
        </c:txPr>
        <c:crossAx val="802975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Narrow"/>
              <a:ea typeface="Aptos Narrow"/>
              <a:cs typeface="Aptos Narrow"/>
            </a:defRPr>
          </a:pPr>
          <a:endParaRPr lang="en-K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ptos Narrow"/>
          <a:ea typeface="Aptos Narrow"/>
          <a:cs typeface="Aptos Narrow"/>
        </a:defRPr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ptos Narrow"/>
                <a:cs typeface="Aptos Narrow"/>
              </a:defRPr>
            </a:pPr>
            <a:r>
              <a:rPr lang="en-US"/>
              <a:t>On-time shipping % by week and channel vs 95% target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Narrow"/>
              <a:ea typeface="Aptos Narrow"/>
              <a:cs typeface="Aptos Narrow"/>
            </a:defRPr>
          </a:pPr>
          <a:endParaRPr lang="en-K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Dashboard!$G$66</c:f>
              <c:strCache>
                <c:ptCount val="1"/>
                <c:pt idx="0">
                  <c:v>DTC Online</c:v>
                </c:pt>
              </c:strCache>
            </c:strRef>
          </c:tx>
          <c:spPr>
            <a:ln w="25400" cap="rnd">
              <a:solidFill>
                <a:srgbClr val="1F3864"/>
              </a:solidFill>
              <a:prstDash val="solid"/>
              <a:round/>
            </a:ln>
            <a:effectLst/>
          </c:spPr>
          <c:marker>
            <c:symbol val="circle"/>
            <c:size val="4"/>
            <c:spPr>
              <a:solidFill>
                <a:srgbClr val="1F3864"/>
              </a:solidFill>
              <a:ln w="9525">
                <a:solidFill>
                  <a:srgbClr val="1F3864"/>
                </a:solidFill>
                <a:prstDash val="solid"/>
              </a:ln>
              <a:effectLst/>
            </c:spPr>
          </c:marker>
          <c:cat>
            <c:numRef>
              <c:f>Dashboard!$A$67:$A$79</c:f>
              <c:numCache>
                <c:formatCode>d\-mmm</c:formatCode>
                <c:ptCount val="13"/>
                <c:pt idx="0">
                  <c:v>46202</c:v>
                </c:pt>
                <c:pt idx="1">
                  <c:v>46209</c:v>
                </c:pt>
                <c:pt idx="2">
                  <c:v>46216</c:v>
                </c:pt>
                <c:pt idx="3">
                  <c:v>46223</c:v>
                </c:pt>
                <c:pt idx="4">
                  <c:v>46230</c:v>
                </c:pt>
                <c:pt idx="5">
                  <c:v>46237</c:v>
                </c:pt>
                <c:pt idx="6">
                  <c:v>46244</c:v>
                </c:pt>
                <c:pt idx="7">
                  <c:v>46251</c:v>
                </c:pt>
                <c:pt idx="8">
                  <c:v>46258</c:v>
                </c:pt>
                <c:pt idx="9">
                  <c:v>46265</c:v>
                </c:pt>
                <c:pt idx="10">
                  <c:v>46272</c:v>
                </c:pt>
                <c:pt idx="11">
                  <c:v>46279</c:v>
                </c:pt>
                <c:pt idx="12">
                  <c:v>46286</c:v>
                </c:pt>
              </c:numCache>
            </c:numRef>
          </c:cat>
          <c:val>
            <c:numRef>
              <c:f>Dashboard!$G$67:$G$79</c:f>
              <c:numCache>
                <c:formatCode>0.0%</c:formatCode>
                <c:ptCount val="13"/>
                <c:pt idx="0">
                  <c:v>0.96599999999999997</c:v>
                </c:pt>
                <c:pt idx="1">
                  <c:v>0.96499999999999997</c:v>
                </c:pt>
                <c:pt idx="2">
                  <c:v>0.97299999999999998</c:v>
                </c:pt>
                <c:pt idx="3">
                  <c:v>0.96499999999999997</c:v>
                </c:pt>
                <c:pt idx="4">
                  <c:v>0.95099999999999996</c:v>
                </c:pt>
                <c:pt idx="5">
                  <c:v>0.95699999999999996</c:v>
                </c:pt>
                <c:pt idx="6">
                  <c:v>0.94699999999999995</c:v>
                </c:pt>
                <c:pt idx="7">
                  <c:v>0.95399999999999996</c:v>
                </c:pt>
                <c:pt idx="8">
                  <c:v>0.93600000000000005</c:v>
                </c:pt>
                <c:pt idx="9">
                  <c:v>0.94299999999999995</c:v>
                </c:pt>
                <c:pt idx="10">
                  <c:v>0.93799999999999994</c:v>
                </c:pt>
                <c:pt idx="11">
                  <c:v>0.93799999999999994</c:v>
                </c:pt>
                <c:pt idx="12">
                  <c:v>0.91900000000000004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67-48D2-BC69-2D042E50E228}"/>
            </c:ext>
          </c:extLst>
        </c:ser>
        <c:ser>
          <c:idx val="1"/>
          <c:order val="1"/>
          <c:tx>
            <c:strRef>
              <c:f>Dashboard!$I$66</c:f>
              <c:strCache>
                <c:ptCount val="1"/>
                <c:pt idx="0">
                  <c:v>TrailMart</c:v>
                </c:pt>
              </c:strCache>
            </c:strRef>
          </c:tx>
          <c:spPr>
            <a:ln w="25400" cap="rnd">
              <a:solidFill>
                <a:srgbClr val="5B9BD5"/>
              </a:solidFill>
              <a:prstDash val="solid"/>
              <a:round/>
            </a:ln>
            <a:effectLst/>
          </c:spPr>
          <c:marker>
            <c:symbol val="circle"/>
            <c:size val="4"/>
            <c:spPr>
              <a:solidFill>
                <a:srgbClr val="5B9BD5"/>
              </a:solidFill>
              <a:ln w="9525">
                <a:solidFill>
                  <a:srgbClr val="5B9BD5"/>
                </a:solidFill>
                <a:prstDash val="solid"/>
              </a:ln>
              <a:effectLst/>
            </c:spPr>
          </c:marker>
          <c:cat>
            <c:numRef>
              <c:f>Dashboard!$A$67:$A$79</c:f>
              <c:numCache>
                <c:formatCode>d\-mmm</c:formatCode>
                <c:ptCount val="13"/>
                <c:pt idx="0">
                  <c:v>46202</c:v>
                </c:pt>
                <c:pt idx="1">
                  <c:v>46209</c:v>
                </c:pt>
                <c:pt idx="2">
                  <c:v>46216</c:v>
                </c:pt>
                <c:pt idx="3">
                  <c:v>46223</c:v>
                </c:pt>
                <c:pt idx="4">
                  <c:v>46230</c:v>
                </c:pt>
                <c:pt idx="5">
                  <c:v>46237</c:v>
                </c:pt>
                <c:pt idx="6">
                  <c:v>46244</c:v>
                </c:pt>
                <c:pt idx="7">
                  <c:v>46251</c:v>
                </c:pt>
                <c:pt idx="8">
                  <c:v>46258</c:v>
                </c:pt>
                <c:pt idx="9">
                  <c:v>46265</c:v>
                </c:pt>
                <c:pt idx="10">
                  <c:v>46272</c:v>
                </c:pt>
                <c:pt idx="11">
                  <c:v>46279</c:v>
                </c:pt>
                <c:pt idx="12">
                  <c:v>46286</c:v>
                </c:pt>
              </c:numCache>
            </c:numRef>
          </c:cat>
          <c:val>
            <c:numRef>
              <c:f>Dashboard!$I$67:$I$79</c:f>
              <c:numCache>
                <c:formatCode>0.0%</c:formatCode>
                <c:ptCount val="13"/>
                <c:pt idx="0">
                  <c:v>0.97499999999999998</c:v>
                </c:pt>
                <c:pt idx="1">
                  <c:v>0.97</c:v>
                </c:pt>
                <c:pt idx="2">
                  <c:v>0.96699999999999997</c:v>
                </c:pt>
                <c:pt idx="3">
                  <c:v>0.97099999999999997</c:v>
                </c:pt>
                <c:pt idx="4">
                  <c:v>0.96499999999999997</c:v>
                </c:pt>
                <c:pt idx="5">
                  <c:v>0.97099999999999997</c:v>
                </c:pt>
                <c:pt idx="6">
                  <c:v>0.95899999999999996</c:v>
                </c:pt>
                <c:pt idx="7">
                  <c:v>0.96499999999999997</c:v>
                </c:pt>
                <c:pt idx="8">
                  <c:v>0.95499999999999996</c:v>
                </c:pt>
                <c:pt idx="9">
                  <c:v>0.94399999999999995</c:v>
                </c:pt>
                <c:pt idx="10">
                  <c:v>0.94299999999999995</c:v>
                </c:pt>
                <c:pt idx="11">
                  <c:v>0.94399999999999995</c:v>
                </c:pt>
                <c:pt idx="12">
                  <c:v>0.93799999999999994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67-48D2-BC69-2D042E50E228}"/>
            </c:ext>
          </c:extLst>
        </c:ser>
        <c:ser>
          <c:idx val="2"/>
          <c:order val="2"/>
          <c:tx>
            <c:strRef>
              <c:f>Dashboard!$J$66</c:f>
              <c:strCache>
                <c:ptCount val="1"/>
                <c:pt idx="0">
                  <c:v>Other Wholesale</c:v>
                </c:pt>
              </c:strCache>
            </c:strRef>
          </c:tx>
          <c:spPr>
            <a:ln w="25400" cap="rnd">
              <a:solidFill>
                <a:srgbClr val="ED7D31"/>
              </a:solidFill>
              <a:prstDash val="lgDash"/>
              <a:round/>
            </a:ln>
            <a:effectLst/>
          </c:spPr>
          <c:marker>
            <c:symbol val="triangle"/>
            <c:size val="4"/>
            <c:spPr>
              <a:solidFill>
                <a:srgbClr val="ED7D31"/>
              </a:solidFill>
              <a:ln w="9525">
                <a:solidFill>
                  <a:srgbClr val="ED7D31"/>
                </a:solidFill>
                <a:prstDash val="solid"/>
              </a:ln>
              <a:effectLst/>
            </c:spPr>
          </c:marker>
          <c:cat>
            <c:numRef>
              <c:f>Dashboard!$A$67:$A$79</c:f>
              <c:numCache>
                <c:formatCode>d\-mmm</c:formatCode>
                <c:ptCount val="13"/>
                <c:pt idx="0">
                  <c:v>46202</c:v>
                </c:pt>
                <c:pt idx="1">
                  <c:v>46209</c:v>
                </c:pt>
                <c:pt idx="2">
                  <c:v>46216</c:v>
                </c:pt>
                <c:pt idx="3">
                  <c:v>46223</c:v>
                </c:pt>
                <c:pt idx="4">
                  <c:v>46230</c:v>
                </c:pt>
                <c:pt idx="5">
                  <c:v>46237</c:v>
                </c:pt>
                <c:pt idx="6">
                  <c:v>46244</c:v>
                </c:pt>
                <c:pt idx="7">
                  <c:v>46251</c:v>
                </c:pt>
                <c:pt idx="8">
                  <c:v>46258</c:v>
                </c:pt>
                <c:pt idx="9">
                  <c:v>46265</c:v>
                </c:pt>
                <c:pt idx="10">
                  <c:v>46272</c:v>
                </c:pt>
                <c:pt idx="11">
                  <c:v>46279</c:v>
                </c:pt>
                <c:pt idx="12">
                  <c:v>46286</c:v>
                </c:pt>
              </c:numCache>
            </c:numRef>
          </c:cat>
          <c:val>
            <c:numRef>
              <c:f>Dashboard!$J$67:$J$79</c:f>
              <c:numCache>
                <c:formatCode>0.0%</c:formatCode>
                <c:ptCount val="13"/>
                <c:pt idx="0">
                  <c:v>0.96699999999999997</c:v>
                </c:pt>
                <c:pt idx="1">
                  <c:v>0.96799999999999997</c:v>
                </c:pt>
                <c:pt idx="2">
                  <c:v>0.96399999999999997</c:v>
                </c:pt>
                <c:pt idx="3">
                  <c:v>0.97499999999999998</c:v>
                </c:pt>
                <c:pt idx="4">
                  <c:v>0.96599999999999997</c:v>
                </c:pt>
                <c:pt idx="5">
                  <c:v>0.96699999999999997</c:v>
                </c:pt>
                <c:pt idx="6">
                  <c:v>0.96499999999999997</c:v>
                </c:pt>
                <c:pt idx="7">
                  <c:v>0.95599999999999996</c:v>
                </c:pt>
                <c:pt idx="8">
                  <c:v>0.95299999999999996</c:v>
                </c:pt>
                <c:pt idx="9">
                  <c:v>0.95799999999999996</c:v>
                </c:pt>
                <c:pt idx="10">
                  <c:v>0.94299999999999995</c:v>
                </c:pt>
                <c:pt idx="11">
                  <c:v>#N/A</c:v>
                </c:pt>
                <c:pt idx="12">
                  <c:v>0.93799999999999994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67-48D2-BC69-2D042E50E228}"/>
            </c:ext>
          </c:extLst>
        </c:ser>
        <c:ser>
          <c:idx val="3"/>
          <c:order val="3"/>
          <c:tx>
            <c:strRef>
              <c:f>Dashboard!$K$66</c:f>
              <c:strCache>
                <c:ptCount val="1"/>
                <c:pt idx="0">
                  <c:v>On-time target 95%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Dashboard!$A$67:$A$79</c:f>
              <c:numCache>
                <c:formatCode>d\-mmm</c:formatCode>
                <c:ptCount val="13"/>
                <c:pt idx="0">
                  <c:v>46202</c:v>
                </c:pt>
                <c:pt idx="1">
                  <c:v>46209</c:v>
                </c:pt>
                <c:pt idx="2">
                  <c:v>46216</c:v>
                </c:pt>
                <c:pt idx="3">
                  <c:v>46223</c:v>
                </c:pt>
                <c:pt idx="4">
                  <c:v>46230</c:v>
                </c:pt>
                <c:pt idx="5">
                  <c:v>46237</c:v>
                </c:pt>
                <c:pt idx="6">
                  <c:v>46244</c:v>
                </c:pt>
                <c:pt idx="7">
                  <c:v>46251</c:v>
                </c:pt>
                <c:pt idx="8">
                  <c:v>46258</c:v>
                </c:pt>
                <c:pt idx="9">
                  <c:v>46265</c:v>
                </c:pt>
                <c:pt idx="10">
                  <c:v>46272</c:v>
                </c:pt>
                <c:pt idx="11">
                  <c:v>46279</c:v>
                </c:pt>
                <c:pt idx="12">
                  <c:v>46286</c:v>
                </c:pt>
              </c:numCache>
            </c:numRef>
          </c:cat>
          <c:val>
            <c:numRef>
              <c:f>Dashboard!$K$67:$K$79</c:f>
              <c:numCache>
                <c:formatCode>0.0%</c:formatCode>
                <c:ptCount val="13"/>
                <c:pt idx="0">
                  <c:v>0.95</c:v>
                </c:pt>
                <c:pt idx="1">
                  <c:v>0.95</c:v>
                </c:pt>
                <c:pt idx="2">
                  <c:v>0.95</c:v>
                </c:pt>
                <c:pt idx="3">
                  <c:v>0.95</c:v>
                </c:pt>
                <c:pt idx="4">
                  <c:v>0.95</c:v>
                </c:pt>
                <c:pt idx="5">
                  <c:v>0.95</c:v>
                </c:pt>
                <c:pt idx="6">
                  <c:v>0.95</c:v>
                </c:pt>
                <c:pt idx="7">
                  <c:v>0.95</c:v>
                </c:pt>
                <c:pt idx="8">
                  <c:v>0.95</c:v>
                </c:pt>
                <c:pt idx="9">
                  <c:v>0.95</c:v>
                </c:pt>
                <c:pt idx="10">
                  <c:v>0.95</c:v>
                </c:pt>
                <c:pt idx="11">
                  <c:v>0.95</c:v>
                </c:pt>
                <c:pt idx="12">
                  <c:v>0.95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67-48D2-BC69-2D042E50E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6273304"/>
        <c:axId val="1296141408"/>
      </c:lineChart>
      <c:dateAx>
        <c:axId val="856273304"/>
        <c:scaling>
          <c:orientation val="minMax"/>
        </c:scaling>
        <c:delete val="0"/>
        <c:axPos val="b"/>
        <c:numFmt formatCode="d\ m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ptos Narrow"/>
                <a:cs typeface="Aptos Narrow"/>
              </a:defRPr>
            </a:pPr>
            <a:endParaRPr lang="en-KE"/>
          </a:p>
        </c:txPr>
        <c:crossAx val="1296141408"/>
        <c:crosses val="autoZero"/>
        <c:auto val="1"/>
        <c:lblOffset val="100"/>
        <c:baseTimeUnit val="days"/>
      </c:dateAx>
      <c:valAx>
        <c:axId val="1296141408"/>
        <c:scaling>
          <c:orientation val="minMax"/>
          <c:max val="0.98"/>
          <c:min val="0.9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ptos Narrow"/>
                <a:cs typeface="Aptos Narrow"/>
              </a:defRPr>
            </a:pPr>
            <a:endParaRPr lang="en-KE"/>
          </a:p>
        </c:txPr>
        <c:crossAx val="856273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Narrow"/>
              <a:ea typeface="Aptos Narrow"/>
              <a:cs typeface="Aptos Narrow"/>
            </a:defRPr>
          </a:pPr>
          <a:endParaRPr lang="en-K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ptos Narrow"/>
          <a:ea typeface="Aptos Narrow"/>
          <a:cs typeface="Aptos Narrow"/>
        </a:defRPr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ptos Narrow"/>
                <a:cs typeface="Aptos Narrow"/>
              </a:defRPr>
            </a:pPr>
            <a:r>
              <a:rPr lang="en-US"/>
              <a:t>Average weekly gross sales: H1 vs H2 (USD)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Narrow"/>
              <a:ea typeface="Aptos Narrow"/>
              <a:cs typeface="Aptos Narrow"/>
            </a:defRPr>
          </a:pPr>
          <a:endParaRPr lang="en-K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Dashboard!$L$32</c:f>
              <c:strCache>
                <c:ptCount val="1"/>
                <c:pt idx="0">
                  <c:v>H1 avg / week</c:v>
                </c:pt>
              </c:strCache>
            </c:strRef>
          </c:tx>
          <c:spPr>
            <a:solidFill>
              <a:srgbClr val="A6A6A6"/>
            </a:solidFill>
            <a:ln>
              <a:noFill/>
            </a:ln>
            <a:effectLst/>
          </c:spPr>
          <c:invertIfNegative val="0"/>
          <c:cat>
            <c:strRef>
              <c:f>Dashboard!$I$33:$I$35</c:f>
              <c:strCache>
                <c:ptCount val="3"/>
                <c:pt idx="0">
                  <c:v>DTC Online</c:v>
                </c:pt>
                <c:pt idx="1">
                  <c:v>TrailMart</c:v>
                </c:pt>
                <c:pt idx="2">
                  <c:v>Other Wholesale</c:v>
                </c:pt>
              </c:strCache>
            </c:strRef>
          </c:cat>
          <c:val>
            <c:numRef>
              <c:f>Dashboard!$L$33:$L$35</c:f>
              <c:numCache>
                <c:formatCode>[$$-409]#,##0</c:formatCode>
                <c:ptCount val="3"/>
                <c:pt idx="0">
                  <c:v>40728.965000000004</c:v>
                </c:pt>
                <c:pt idx="1">
                  <c:v>64402.651666666672</c:v>
                </c:pt>
                <c:pt idx="2">
                  <c:v>28851.373333333333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9A-4ECD-A3C4-D48FB9DD99C0}"/>
            </c:ext>
          </c:extLst>
        </c:ser>
        <c:ser>
          <c:idx val="1"/>
          <c:order val="1"/>
          <c:tx>
            <c:strRef>
              <c:f>Dashboard!$M$32</c:f>
              <c:strCache>
                <c:ptCount val="1"/>
                <c:pt idx="0">
                  <c:v>H2 avg / week</c:v>
                </c:pt>
              </c:strCache>
            </c:strRef>
          </c:tx>
          <c:spPr>
            <a:solidFill>
              <a:srgbClr val="1F3864"/>
            </a:solidFill>
            <a:ln>
              <a:noFill/>
            </a:ln>
            <a:effectLst/>
          </c:spPr>
          <c:invertIfNegative val="0"/>
          <c:cat>
            <c:strRef>
              <c:f>Dashboard!$I$33:$I$35</c:f>
              <c:strCache>
                <c:ptCount val="3"/>
                <c:pt idx="0">
                  <c:v>DTC Online</c:v>
                </c:pt>
                <c:pt idx="1">
                  <c:v>TrailMart</c:v>
                </c:pt>
                <c:pt idx="2">
                  <c:v>Other Wholesale</c:v>
                </c:pt>
              </c:strCache>
            </c:strRef>
          </c:cat>
          <c:val>
            <c:numRef>
              <c:f>Dashboard!$M$33:$M$35</c:f>
              <c:numCache>
                <c:formatCode>[$$-409]#,##0</c:formatCode>
                <c:ptCount val="3"/>
                <c:pt idx="0">
                  <c:v>43143.64428571429</c:v>
                </c:pt>
                <c:pt idx="1">
                  <c:v>58900.65</c:v>
                </c:pt>
                <c:pt idx="2">
                  <c:v>30450.758333333331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9A-4ECD-A3C4-D48FB9DD99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4192376"/>
        <c:axId val="854193096"/>
      </c:barChart>
      <c:catAx>
        <c:axId val="854192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ptos Narrow"/>
                <a:cs typeface="Aptos Narrow"/>
              </a:defRPr>
            </a:pPr>
            <a:endParaRPr lang="en-KE"/>
          </a:p>
        </c:txPr>
        <c:crossAx val="854193096"/>
        <c:crosses val="autoZero"/>
        <c:auto val="1"/>
        <c:lblAlgn val="ctr"/>
        <c:lblOffset val="100"/>
        <c:noMultiLvlLbl val="0"/>
      </c:catAx>
      <c:valAx>
        <c:axId val="854193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$-409]#,##0,&quot;K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/>
                <a:ea typeface="Aptos Narrow"/>
                <a:cs typeface="Aptos Narrow"/>
              </a:defRPr>
            </a:pPr>
            <a:endParaRPr lang="en-KE"/>
          </a:p>
        </c:txPr>
        <c:crossAx val="854192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Narrow"/>
              <a:ea typeface="Aptos Narrow"/>
              <a:cs typeface="Aptos Narrow"/>
            </a:defRPr>
          </a:pPr>
          <a:endParaRPr lang="en-K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ptos Narrow"/>
          <a:ea typeface="Aptos Narrow"/>
          <a:cs typeface="Aptos Narrow"/>
        </a:defRPr>
      </a:pPr>
      <a:endParaRPr lang="en-KE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17</xdr:row>
      <xdr:rowOff>161925</xdr:rowOff>
    </xdr:from>
    <xdr:to>
      <xdr:col>6</xdr:col>
      <xdr:colOff>38100</xdr:colOff>
      <xdr:row>27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96A6E64-7F2F-B7BF-E5BA-9A544BB078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10</xdr:row>
      <xdr:rowOff>0</xdr:rowOff>
    </xdr:from>
    <xdr:to>
      <xdr:col>15</xdr:col>
      <xdr:colOff>0</xdr:colOff>
      <xdr:row>28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AE1A903-9100-491A-0FB2-8D1598D7CB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6</xdr:col>
      <xdr:colOff>0</xdr:colOff>
      <xdr:row>47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FEDEC41-50D7-1E92-BC42-A4C263D1E3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37</xdr:row>
      <xdr:rowOff>0</xdr:rowOff>
    </xdr:from>
    <xdr:to>
      <xdr:col>15</xdr:col>
      <xdr:colOff>0</xdr:colOff>
      <xdr:row>47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80452C4-53E8-F6B6-D865-167C7C5E87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311.881842824077" createdVersion="8" refreshedVersion="8" minRefreshableVersion="3" recordCount="39" xr:uid="{5FFFEC7B-E1EA-4F7E-88B5-5A4860D93293}">
  <cacheSource type="worksheet">
    <worksheetSource name="Clean_Q3"/>
  </cacheSource>
  <cacheFields count="9">
    <cacheField name="Week_Start" numFmtId="166">
      <sharedItems containsSemiMixedTypes="0" containsNonDate="0" containsDate="1" containsString="0" minDate="2026-06-29T00:00:00" maxDate="2026-09-22T00:00:00"/>
    </cacheField>
    <cacheField name="Channel" numFmtId="0">
      <sharedItems count="3">
        <s v="DTC Online"/>
        <s v="TrailMart"/>
        <s v="Other Wholesale"/>
      </sharedItems>
    </cacheField>
    <cacheField name="Orders" numFmtId="3">
      <sharedItems containsString="0" containsBlank="1" containsNumber="1" containsInteger="1" minValue="81" maxValue="478"/>
    </cacheField>
    <cacheField name="Gross_Sales_USD" numFmtId="4">
      <sharedItems containsString="0" containsBlank="1" containsNumber="1" minValue="26552.63" maxValue="69822.039999999994"/>
    </cacheField>
    <cacheField name="Returns_USD" numFmtId="4">
      <sharedItems containsString="0" containsBlank="1" containsNumber="1" minValue="578.15" maxValue="4502.63"/>
    </cacheField>
    <cacheField name="On_Time_Ship_Pct" numFmtId="164">
      <sharedItems containsString="0" containsBlank="1" containsNumber="1" minValue="0.91900000000000004" maxValue="0.97499999999999998"/>
    </cacheField>
    <cacheField name="Half" numFmtId="0">
      <sharedItems/>
    </cacheField>
    <cacheField name="Raw_Row" numFmtId="0">
      <sharedItems containsMixedTypes="1" containsNumber="1" containsInteger="1" minValue="4" maxValue="42"/>
    </cacheField>
    <cacheField name="Flag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9">
  <r>
    <d v="2026-06-29T00:00:00"/>
    <x v="0"/>
    <n v="405"/>
    <n v="37131.64"/>
    <n v="2328.7800000000002"/>
    <n v="0.96599999999999997"/>
    <s v="H1"/>
    <n v="4"/>
    <m/>
  </r>
  <r>
    <d v="2026-06-29T00:00:00"/>
    <x v="1"/>
    <n v="161"/>
    <n v="65123.41"/>
    <n v="1412.2"/>
    <n v="0.97499999999999998"/>
    <s v="H1"/>
    <n v="5"/>
    <m/>
  </r>
  <r>
    <d v="2026-06-29T00:00:00"/>
    <x v="2"/>
    <n v="81"/>
    <n v="26552.63"/>
    <n v="578.15"/>
    <n v="0.96699999999999997"/>
    <s v="H1"/>
    <n v="6"/>
    <m/>
  </r>
  <r>
    <d v="2026-07-06T00:00:00"/>
    <x v="0"/>
    <n v="418"/>
    <n v="41007.93"/>
    <n v="2310.12"/>
    <n v="0.96499999999999997"/>
    <s v="H1"/>
    <n v="7"/>
    <m/>
  </r>
  <r>
    <d v="2026-07-06T00:00:00"/>
    <x v="1"/>
    <n v="163"/>
    <n v="69822.039999999994"/>
    <n v="1785.93"/>
    <n v="0.97"/>
    <s v="H1"/>
    <n v="8"/>
    <m/>
  </r>
  <r>
    <d v="2026-07-06T00:00:00"/>
    <x v="2"/>
    <n v="98"/>
    <n v="30873.65"/>
    <n v="854.85"/>
    <n v="0.96799999999999997"/>
    <s v="H1"/>
    <n v="9"/>
    <m/>
  </r>
  <r>
    <d v="2026-07-13T00:00:00"/>
    <x v="0"/>
    <n v="399"/>
    <n v="36456.239999999998"/>
    <n v="2302.23"/>
    <n v="0.97299999999999998"/>
    <s v="H1"/>
    <n v="10"/>
    <m/>
  </r>
  <r>
    <d v="2026-07-13T00:00:00"/>
    <x v="1"/>
    <n v="147"/>
    <n v="60761.8"/>
    <n v="1582.35"/>
    <n v="0.96699999999999997"/>
    <s v="H1"/>
    <n v="11"/>
    <s v="Channel name fixed"/>
  </r>
  <r>
    <d v="2026-07-13T00:00:00"/>
    <x v="2"/>
    <n v="91"/>
    <n v="28717.06"/>
    <n v="623.07000000000005"/>
    <n v="0.96399999999999997"/>
    <s v="H1"/>
    <n v="12"/>
    <m/>
  </r>
  <r>
    <d v="2026-07-20T00:00:00"/>
    <x v="0"/>
    <n v="450"/>
    <n v="42440.46"/>
    <n v="2825.23"/>
    <n v="0.96499999999999997"/>
    <s v="H1"/>
    <n v="13"/>
    <m/>
  </r>
  <r>
    <d v="2026-07-20T00:00:00"/>
    <x v="1"/>
    <n v="155"/>
    <n v="62277.52"/>
    <n v="1694.44"/>
    <n v="0.97099999999999997"/>
    <s v="H1"/>
    <n v="14"/>
    <m/>
  </r>
  <r>
    <d v="2026-07-20T00:00:00"/>
    <x v="2"/>
    <n v="86"/>
    <n v="28591.21"/>
    <m/>
    <n v="0.97499999999999998"/>
    <s v="H1"/>
    <n v="15"/>
    <s v="UNTRUSTED – Raw shows -720.18 (returns can't be negative). Excluded; not corrected"/>
  </r>
  <r>
    <d v="2026-07-27T00:00:00"/>
    <x v="0"/>
    <n v="460"/>
    <n v="42773.29"/>
    <n v="3621.18"/>
    <n v="0.95099999999999996"/>
    <s v="H1"/>
    <n v="16"/>
    <s v="Date format fixed; On-time already a fraction (0.951)"/>
  </r>
  <r>
    <d v="2026-07-27T00:00:00"/>
    <x v="1"/>
    <n v="153"/>
    <n v="64343.05"/>
    <n v="1440.63"/>
    <n v="0.96499999999999997"/>
    <s v="H1"/>
    <n v="17"/>
    <m/>
  </r>
  <r>
    <d v="2026-07-27T00:00:00"/>
    <x v="2"/>
    <n v="83"/>
    <n v="27850.74"/>
    <n v="751.53"/>
    <n v="0.96599999999999997"/>
    <s v="H1"/>
    <n v="18"/>
    <m/>
  </r>
  <r>
    <d v="2026-08-03T00:00:00"/>
    <x v="0"/>
    <n v="478"/>
    <n v="44564.23"/>
    <n v="3656.08"/>
    <n v="0.95699999999999996"/>
    <s v="H1"/>
    <n v="19"/>
    <s v="$ text converted"/>
  </r>
  <r>
    <d v="2026-08-03T00:00:00"/>
    <x v="1"/>
    <n v="157"/>
    <n v="64088.09"/>
    <n v="1765.61"/>
    <n v="0.97099999999999997"/>
    <s v="H1"/>
    <n v="20"/>
    <s v="Duplicate of Raw row 21 removed"/>
  </r>
  <r>
    <d v="2026-08-03T00:00:00"/>
    <x v="2"/>
    <n v="91"/>
    <n v="30522.95"/>
    <n v="662.5"/>
    <n v="0.96699999999999997"/>
    <s v="H1"/>
    <n v="22"/>
    <m/>
  </r>
  <r>
    <d v="2026-08-10T00:00:00"/>
    <x v="0"/>
    <n v="463"/>
    <n v="46153.88"/>
    <n v="4099.5200000000004"/>
    <n v="0.94699999999999995"/>
    <s v="H2"/>
    <n v="23"/>
    <m/>
  </r>
  <r>
    <d v="2026-08-10T00:00:00"/>
    <x v="1"/>
    <n v="150"/>
    <n v="62537.21"/>
    <n v="1339.5"/>
    <n v="0.95899999999999996"/>
    <s v="H2"/>
    <n v="24"/>
    <m/>
  </r>
  <r>
    <d v="2026-08-10T00:00:00"/>
    <x v="2"/>
    <n v="86"/>
    <n v="27293.32"/>
    <n v="592.04999999999995"/>
    <n v="0.96499999999999997"/>
    <s v="H2"/>
    <n v="25"/>
    <m/>
  </r>
  <r>
    <d v="2026-08-17T00:00:00"/>
    <x v="0"/>
    <n v="421"/>
    <n v="38985.589999999997"/>
    <n v="3186.51"/>
    <n v="0.95399999999999996"/>
    <s v="H2"/>
    <n v="26"/>
    <s v="Channel name fixed"/>
  </r>
  <r>
    <d v="2026-08-17T00:00:00"/>
    <x v="1"/>
    <n v="140"/>
    <n v="57108.34"/>
    <n v="1448.88"/>
    <n v="0.96499999999999997"/>
    <s v="H2"/>
    <n v="27"/>
    <m/>
  </r>
  <r>
    <d v="2026-08-17T00:00:00"/>
    <x v="2"/>
    <n v="98"/>
    <n v="33517.129999999997"/>
    <n v="782.23"/>
    <n v="0.95599999999999996"/>
    <s v="H2"/>
    <n v="28"/>
    <m/>
  </r>
  <r>
    <d v="2026-08-24T00:00:00"/>
    <x v="0"/>
    <n v="447"/>
    <n v="44096.47"/>
    <n v="4413.3599999999997"/>
    <n v="0.93600000000000005"/>
    <s v="H2"/>
    <n v="29"/>
    <m/>
  </r>
  <r>
    <d v="2026-08-24T00:00:00"/>
    <x v="1"/>
    <n v="142"/>
    <m/>
    <n v="1303.17"/>
    <n v="0.95499999999999996"/>
    <s v="H2"/>
    <n v="30"/>
    <s v="UNTRUSTED – Raw shows 566,594.50 (~10x normal week). Excluded from totals; not corrected"/>
  </r>
  <r>
    <d v="2026-08-24T00:00:00"/>
    <x v="2"/>
    <n v="94"/>
    <n v="30284.04"/>
    <n v="644.47"/>
    <n v="0.95299999999999996"/>
    <s v="H2"/>
    <n v="31"/>
    <m/>
  </r>
  <r>
    <d v="2026-08-31T00:00:00"/>
    <x v="0"/>
    <n v="453"/>
    <n v="43320.5"/>
    <n v="4502.63"/>
    <n v="0.94299999999999995"/>
    <s v="H2"/>
    <n v="32"/>
    <m/>
  </r>
  <r>
    <d v="2026-08-31T00:00:00"/>
    <x v="1"/>
    <n v="151"/>
    <n v="62638.02"/>
    <n v="1648.73"/>
    <n v="0.94399999999999995"/>
    <s v="H2"/>
    <n v="33"/>
    <m/>
  </r>
  <r>
    <d v="2026-08-31T00:00:00"/>
    <x v="2"/>
    <n v="100"/>
    <n v="33923.9"/>
    <n v="943.38"/>
    <n v="0.95799999999999996"/>
    <s v="H2"/>
    <n v="34"/>
    <m/>
  </r>
  <r>
    <d v="2026-09-07T00:00:00"/>
    <x v="0"/>
    <n v="460"/>
    <n v="43258.54"/>
    <n v="3620.77"/>
    <n v="0.93799999999999994"/>
    <s v="H2"/>
    <n v="35"/>
    <m/>
  </r>
  <r>
    <d v="2026-09-07T00:00:00"/>
    <x v="1"/>
    <n v="137"/>
    <n v="53739.79"/>
    <n v="1226.1099999999999"/>
    <n v="0.94299999999999995"/>
    <s v="H2"/>
    <n v="36"/>
    <m/>
  </r>
  <r>
    <d v="2026-09-07T00:00:00"/>
    <x v="2"/>
    <n v="90"/>
    <n v="28371.15"/>
    <n v="602.94000000000005"/>
    <n v="0.94299999999999995"/>
    <s v="H2"/>
    <n v="37"/>
    <m/>
  </r>
  <r>
    <d v="2026-09-14T00:00:00"/>
    <x v="0"/>
    <n v="437"/>
    <n v="40948.78"/>
    <n v="3459.29"/>
    <n v="0.93799999999999994"/>
    <s v="H2"/>
    <n v="38"/>
    <m/>
  </r>
  <r>
    <d v="2026-09-14T00:00:00"/>
    <x v="1"/>
    <n v="152"/>
    <n v="60129.77"/>
    <n v="1391.52"/>
    <n v="0.94399999999999995"/>
    <s v="H2"/>
    <n v="39"/>
    <m/>
  </r>
  <r>
    <d v="2026-09-14T00:00:00"/>
    <x v="2"/>
    <m/>
    <m/>
    <m/>
    <m/>
    <s v="H2"/>
    <s v="n/a"/>
    <s v="MISSING ROW – not in export; not estimated"/>
  </r>
  <r>
    <d v="2026-09-21T00:00:00"/>
    <x v="0"/>
    <n v="477"/>
    <n v="45241.75"/>
    <n v="4041.36"/>
    <n v="0.91900000000000004"/>
    <s v="H2"/>
    <n v="40"/>
    <m/>
  </r>
  <r>
    <d v="2026-09-21T00:00:00"/>
    <x v="1"/>
    <n v="143"/>
    <n v="57250.77"/>
    <n v="1572.47"/>
    <n v="0.93799999999999994"/>
    <s v="H2"/>
    <n v="41"/>
    <m/>
  </r>
  <r>
    <d v="2026-09-21T00:00:00"/>
    <x v="2"/>
    <n v="85"/>
    <n v="29315.01"/>
    <n v="739.09"/>
    <n v="0.93799999999999994"/>
    <s v="H2"/>
    <n v="4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2971F6-72E9-4B18-BB1C-72819F87E920}" name="PT_Check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H8:J12" firstHeaderRow="0" firstDataRow="1" firstDataCol="1"/>
  <pivotFields count="9">
    <pivotField numFmtId="166" showAll="0"/>
    <pivotField axis="axisRow" showAll="0">
      <items count="4">
        <item x="0"/>
        <item x="2"/>
        <item x="1"/>
        <item t="default"/>
      </items>
    </pivotField>
    <pivotField showAll="0"/>
    <pivotField dataField="1" showAll="0"/>
    <pivotField dataField="1" showAll="0"/>
    <pivotField showAll="0"/>
    <pivotField showAll="0"/>
    <pivotField showAll="0"/>
    <pivotField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Pivot gross (USD)" fld="3" baseField="0" baseItem="0"/>
    <dataField name="Pivot returns (USD)" fld="4" baseField="0" baseItem="0"/>
  </dataFields>
  <formats count="7">
    <format dxfId="19">
      <pivotArea outline="0" collapsedLevelsAreSubtotals="1" fieldPosition="0"/>
    </format>
    <format dxfId="18">
      <pivotArea type="all" dataOnly="0" outline="0" fieldPosition="0"/>
    </format>
    <format dxfId="17">
      <pivotArea outline="0" collapsedLevelsAreSubtotals="1" fieldPosition="0"/>
    </format>
    <format dxfId="16">
      <pivotArea field="1" type="button" dataOnly="0" labelOnly="1" outline="0" axis="axisRow" fieldPosition="0"/>
    </format>
    <format dxfId="15">
      <pivotArea dataOnly="0" labelOnly="1" fieldPosition="0">
        <references count="1">
          <reference field="1" count="0"/>
        </references>
      </pivotArea>
    </format>
    <format dxfId="14">
      <pivotArea dataOnly="0" labelOnly="1" grandRow="1" outline="0" fieldPosition="0"/>
    </format>
    <format dxfId="1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481D72A-1601-461C-BFCA-081A85AB50F4}" autoFormatId="16" applyNumberFormats="0" applyBorderFormats="0" applyFontFormats="0" applyPatternFormats="0" applyAlignmentFormats="0" applyWidthHeightFormats="0">
  <queryTableRefresh nextId="7">
    <queryTableFields count="6">
      <queryTableField id="1" name="Week_Start" tableColumnId="1"/>
      <queryTableField id="2" name="Channel" tableColumnId="2"/>
      <queryTableField id="3" name="Orders" tableColumnId="3"/>
      <queryTableField id="4" name="Gross_Sales_USD" tableColumnId="4"/>
      <queryTableField id="5" name="Returns_USD" tableColumnId="5"/>
      <queryTableField id="6" name="On_Time_Ship_Pct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CB270E-9C0E-4CEB-9DF7-B60A337F6A5D}" name="Tom_Q3_weekly_export" displayName="Tom_Q3_weekly_export" ref="A3:F42" tableType="queryTable" totalsRowShown="0" headerRowDxfId="27" dataDxfId="26">
  <autoFilter ref="A3:F42" xr:uid="{D7CB270E-9C0E-4CEB-9DF7-B60A337F6A5D}"/>
  <tableColumns count="6">
    <tableColumn id="1" xr3:uid="{B24F43BA-C3BF-4E89-A538-186DA294EB16}" uniqueName="1" name="Week_Start" queryTableFieldId="1" dataDxfId="25"/>
    <tableColumn id="2" xr3:uid="{55E0B18D-5683-4361-A405-55E0F0A45864}" uniqueName="2" name="Channel" queryTableFieldId="2" dataDxfId="24"/>
    <tableColumn id="3" xr3:uid="{3A939BCA-8BF8-4043-9806-C073AE7772E9}" uniqueName="3" name="Orders" queryTableFieldId="3" dataDxfId="23"/>
    <tableColumn id="4" xr3:uid="{973C2520-2251-4E61-9560-CA1C302162CE}" uniqueName="4" name="Gross_Sales_USD" queryTableFieldId="4" dataDxfId="22"/>
    <tableColumn id="5" xr3:uid="{0D6D069F-8DC9-4D96-84B5-68426054CDE8}" uniqueName="5" name="Returns_USD" queryTableFieldId="5" dataDxfId="21"/>
    <tableColumn id="6" xr3:uid="{C638602E-A988-44B0-A3B3-1AB69BD3CB6E}" uniqueName="6" name="On_Time_Ship_Pct" queryTableFieldId="6" dataDxfId="2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938513B-8585-4D33-9C3C-C078509C83E6}" name="Clean_Q3" displayName="Clean_Q3" ref="A4:F43" totalsRowShown="0" headerRowDxfId="12" dataDxfId="11">
  <autoFilter ref="A4:F43" xr:uid="{B938513B-8585-4D33-9C3C-C078509C83E6}"/>
  <tableColumns count="6">
    <tableColumn id="1" xr3:uid="{D871E34D-375F-4F79-8819-5668F35B3BD3}" name="Week_Start" dataDxfId="10"/>
    <tableColumn id="2" xr3:uid="{FA7C4D2B-BC3A-471B-A22C-9E136EA60C67}" name="Channel" dataDxfId="9"/>
    <tableColumn id="3" xr3:uid="{843C5FE5-19B5-495F-B922-45D7D86FA443}" name="Orders" dataDxfId="8"/>
    <tableColumn id="4" xr3:uid="{A9208593-B5A7-4FEC-8865-27224222874C}" name="Gross_Sales_USD" dataDxfId="7"/>
    <tableColumn id="5" xr3:uid="{8FD4529B-E6A3-4BCB-9DE5-5A32ED635923}" name="Returns_USD" dataDxfId="6"/>
    <tableColumn id="6" xr3:uid="{65C548CF-5562-47A5-8E14-9D5B44C6D7F3}" name="On_Time_Ship_Pct" dataDxfId="5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744C0-5488-4C26-AD34-DC45001868DD}">
  <dimension ref="A1:F42"/>
  <sheetViews>
    <sheetView workbookViewId="0"/>
  </sheetViews>
  <sheetFormatPr defaultRowHeight="11.25" x14ac:dyDescent="0.2"/>
  <cols>
    <col min="1" max="1" width="26.28515625" style="14" bestFit="1" customWidth="1"/>
    <col min="2" max="2" width="11.42578125" style="14" bestFit="1" customWidth="1"/>
    <col min="3" max="3" width="7.85546875" style="14" bestFit="1" customWidth="1"/>
    <col min="4" max="4" width="14.7109375" style="14" bestFit="1" customWidth="1"/>
    <col min="5" max="5" width="12" style="14" bestFit="1" customWidth="1"/>
    <col min="6" max="6" width="15.42578125" style="14" bestFit="1" customWidth="1"/>
    <col min="7" max="8" width="9.140625" style="14"/>
    <col min="9" max="9" width="17.28515625" style="14" customWidth="1"/>
    <col min="10" max="10" width="34.85546875" style="14" customWidth="1"/>
    <col min="11" max="16384" width="9.140625" style="14"/>
  </cols>
  <sheetData>
    <row r="1" spans="1:6" ht="17.25" x14ac:dyDescent="0.3">
      <c r="A1" s="46" t="s">
        <v>67</v>
      </c>
    </row>
    <row r="3" spans="1:6" x14ac:dyDescent="0.2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</row>
    <row r="4" spans="1:6" x14ac:dyDescent="0.2">
      <c r="A4" s="14" t="s">
        <v>6</v>
      </c>
      <c r="B4" s="14" t="s">
        <v>7</v>
      </c>
      <c r="C4" s="14">
        <v>405</v>
      </c>
      <c r="D4" s="15" t="s">
        <v>8</v>
      </c>
      <c r="E4" s="14">
        <v>2328.7800000000002</v>
      </c>
      <c r="F4" s="14">
        <v>96.6</v>
      </c>
    </row>
    <row r="5" spans="1:6" x14ac:dyDescent="0.2">
      <c r="A5" s="14" t="s">
        <v>6</v>
      </c>
      <c r="B5" s="14" t="s">
        <v>9</v>
      </c>
      <c r="C5" s="14">
        <v>161</v>
      </c>
      <c r="D5" s="15" t="s">
        <v>10</v>
      </c>
      <c r="E5" s="14">
        <v>1412.2</v>
      </c>
      <c r="F5" s="14">
        <v>97.5</v>
      </c>
    </row>
    <row r="6" spans="1:6" x14ac:dyDescent="0.2">
      <c r="A6" s="14" t="s">
        <v>6</v>
      </c>
      <c r="B6" s="14" t="s">
        <v>11</v>
      </c>
      <c r="C6" s="14">
        <v>81</v>
      </c>
      <c r="D6" s="15" t="s">
        <v>12</v>
      </c>
      <c r="E6" s="14">
        <v>578.15</v>
      </c>
      <c r="F6" s="14">
        <v>96.7</v>
      </c>
    </row>
    <row r="7" spans="1:6" x14ac:dyDescent="0.2">
      <c r="A7" s="14" t="s">
        <v>13</v>
      </c>
      <c r="B7" s="14" t="s">
        <v>7</v>
      </c>
      <c r="C7" s="14">
        <v>418</v>
      </c>
      <c r="D7" s="15" t="s">
        <v>14</v>
      </c>
      <c r="E7" s="14">
        <v>2310.12</v>
      </c>
      <c r="F7" s="14">
        <v>96.5</v>
      </c>
    </row>
    <row r="8" spans="1:6" x14ac:dyDescent="0.2">
      <c r="A8" s="14" t="s">
        <v>13</v>
      </c>
      <c r="B8" s="14" t="s">
        <v>9</v>
      </c>
      <c r="C8" s="14">
        <v>163</v>
      </c>
      <c r="D8" s="15" t="s">
        <v>15</v>
      </c>
      <c r="E8" s="14">
        <v>1785.93</v>
      </c>
      <c r="F8" s="14">
        <v>97</v>
      </c>
    </row>
    <row r="9" spans="1:6" x14ac:dyDescent="0.2">
      <c r="A9" s="14" t="s">
        <v>13</v>
      </c>
      <c r="B9" s="14" t="s">
        <v>11</v>
      </c>
      <c r="C9" s="14">
        <v>98</v>
      </c>
      <c r="D9" s="15" t="s">
        <v>16</v>
      </c>
      <c r="E9" s="14">
        <v>854.85</v>
      </c>
      <c r="F9" s="14">
        <v>96.8</v>
      </c>
    </row>
    <row r="10" spans="1:6" x14ac:dyDescent="0.2">
      <c r="A10" s="14" t="s">
        <v>17</v>
      </c>
      <c r="B10" s="14" t="s">
        <v>7</v>
      </c>
      <c r="C10" s="14">
        <v>399</v>
      </c>
      <c r="D10" s="15" t="s">
        <v>18</v>
      </c>
      <c r="E10" s="14">
        <v>2302.23</v>
      </c>
      <c r="F10" s="14">
        <v>97.3</v>
      </c>
    </row>
    <row r="11" spans="1:6" x14ac:dyDescent="0.2">
      <c r="A11" s="14" t="s">
        <v>17</v>
      </c>
      <c r="B11" s="14" t="s">
        <v>19</v>
      </c>
      <c r="C11" s="14">
        <v>147</v>
      </c>
      <c r="D11" s="15" t="s">
        <v>20</v>
      </c>
      <c r="E11" s="14">
        <v>1582.35</v>
      </c>
      <c r="F11" s="14">
        <v>96.7</v>
      </c>
    </row>
    <row r="12" spans="1:6" x14ac:dyDescent="0.2">
      <c r="A12" s="14" t="s">
        <v>17</v>
      </c>
      <c r="B12" s="14" t="s">
        <v>11</v>
      </c>
      <c r="C12" s="14">
        <v>91</v>
      </c>
      <c r="D12" s="15" t="s">
        <v>21</v>
      </c>
      <c r="E12" s="14">
        <v>623.07000000000005</v>
      </c>
      <c r="F12" s="14">
        <v>96.4</v>
      </c>
    </row>
    <row r="13" spans="1:6" x14ac:dyDescent="0.2">
      <c r="A13" s="14" t="s">
        <v>22</v>
      </c>
      <c r="B13" s="14" t="s">
        <v>7</v>
      </c>
      <c r="C13" s="14">
        <v>450</v>
      </c>
      <c r="D13" s="15" t="s">
        <v>23</v>
      </c>
      <c r="E13" s="14">
        <v>2825.23</v>
      </c>
      <c r="F13" s="14">
        <v>96.5</v>
      </c>
    </row>
    <row r="14" spans="1:6" x14ac:dyDescent="0.2">
      <c r="A14" s="14" t="s">
        <v>22</v>
      </c>
      <c r="B14" s="14" t="s">
        <v>9</v>
      </c>
      <c r="C14" s="14">
        <v>155</v>
      </c>
      <c r="D14" s="15" t="s">
        <v>24</v>
      </c>
      <c r="E14" s="14">
        <v>1694.44</v>
      </c>
      <c r="F14" s="14">
        <v>97.1</v>
      </c>
    </row>
    <row r="15" spans="1:6" x14ac:dyDescent="0.2">
      <c r="A15" s="14" t="s">
        <v>22</v>
      </c>
      <c r="B15" s="14" t="s">
        <v>11</v>
      </c>
      <c r="C15" s="14">
        <v>86</v>
      </c>
      <c r="D15" s="15" t="s">
        <v>25</v>
      </c>
      <c r="E15" s="14">
        <v>-720.18</v>
      </c>
      <c r="F15" s="14">
        <v>97.5</v>
      </c>
    </row>
    <row r="16" spans="1:6" x14ac:dyDescent="0.2">
      <c r="A16" s="14" t="s">
        <v>26</v>
      </c>
      <c r="B16" s="14" t="s">
        <v>7</v>
      </c>
      <c r="C16" s="14">
        <v>460</v>
      </c>
      <c r="D16" s="15" t="s">
        <v>27</v>
      </c>
      <c r="E16" s="14">
        <v>3621.18</v>
      </c>
      <c r="F16" s="14">
        <v>0.95099999999999996</v>
      </c>
    </row>
    <row r="17" spans="1:6" x14ac:dyDescent="0.2">
      <c r="A17" s="14" t="s">
        <v>28</v>
      </c>
      <c r="B17" s="14" t="s">
        <v>9</v>
      </c>
      <c r="C17" s="14">
        <v>153</v>
      </c>
      <c r="D17" s="15" t="s">
        <v>29</v>
      </c>
      <c r="E17" s="14">
        <v>1440.63</v>
      </c>
      <c r="F17" s="14">
        <v>96.5</v>
      </c>
    </row>
    <row r="18" spans="1:6" x14ac:dyDescent="0.2">
      <c r="A18" s="14" t="s">
        <v>28</v>
      </c>
      <c r="B18" s="14" t="s">
        <v>11</v>
      </c>
      <c r="C18" s="14">
        <v>83</v>
      </c>
      <c r="D18" s="15" t="s">
        <v>30</v>
      </c>
      <c r="E18" s="14">
        <v>751.53</v>
      </c>
      <c r="F18" s="14">
        <v>96.6</v>
      </c>
    </row>
    <row r="19" spans="1:6" x14ac:dyDescent="0.2">
      <c r="A19" s="14" t="s">
        <v>31</v>
      </c>
      <c r="B19" s="14" t="s">
        <v>7</v>
      </c>
      <c r="C19" s="14">
        <v>478</v>
      </c>
      <c r="D19" s="15" t="s">
        <v>32</v>
      </c>
      <c r="E19" s="14">
        <v>3656.08</v>
      </c>
      <c r="F19" s="14">
        <v>95.7</v>
      </c>
    </row>
    <row r="20" spans="1:6" x14ac:dyDescent="0.2">
      <c r="A20" s="14" t="s">
        <v>31</v>
      </c>
      <c r="B20" s="14" t="s">
        <v>9</v>
      </c>
      <c r="C20" s="14">
        <v>157</v>
      </c>
      <c r="D20" s="15" t="s">
        <v>33</v>
      </c>
      <c r="E20" s="14">
        <v>1765.61</v>
      </c>
      <c r="F20" s="14">
        <v>97.1</v>
      </c>
    </row>
    <row r="21" spans="1:6" x14ac:dyDescent="0.2">
      <c r="A21" s="14" t="s">
        <v>31</v>
      </c>
      <c r="B21" s="14" t="s">
        <v>9</v>
      </c>
      <c r="C21" s="14">
        <v>157</v>
      </c>
      <c r="D21" s="15" t="s">
        <v>33</v>
      </c>
      <c r="E21" s="14">
        <v>1765.61</v>
      </c>
      <c r="F21" s="14">
        <v>97.1</v>
      </c>
    </row>
    <row r="22" spans="1:6" x14ac:dyDescent="0.2">
      <c r="A22" s="14" t="s">
        <v>31</v>
      </c>
      <c r="B22" s="14" t="s">
        <v>11</v>
      </c>
      <c r="C22" s="14">
        <v>91</v>
      </c>
      <c r="D22" s="15" t="s">
        <v>34</v>
      </c>
      <c r="E22" s="14">
        <v>662.5</v>
      </c>
      <c r="F22" s="14">
        <v>96.7</v>
      </c>
    </row>
    <row r="23" spans="1:6" x14ac:dyDescent="0.2">
      <c r="A23" s="14" t="s">
        <v>35</v>
      </c>
      <c r="B23" s="14" t="s">
        <v>7</v>
      </c>
      <c r="C23" s="14">
        <v>463</v>
      </c>
      <c r="D23" s="15" t="s">
        <v>36</v>
      </c>
      <c r="E23" s="14">
        <v>4099.5200000000004</v>
      </c>
      <c r="F23" s="14">
        <v>94.7</v>
      </c>
    </row>
    <row r="24" spans="1:6" x14ac:dyDescent="0.2">
      <c r="A24" s="14" t="s">
        <v>35</v>
      </c>
      <c r="B24" s="14" t="s">
        <v>9</v>
      </c>
      <c r="C24" s="14">
        <v>150</v>
      </c>
      <c r="D24" s="15" t="s">
        <v>37</v>
      </c>
      <c r="E24" s="14">
        <v>1339.5</v>
      </c>
      <c r="F24" s="14">
        <v>95.9</v>
      </c>
    </row>
    <row r="25" spans="1:6" x14ac:dyDescent="0.2">
      <c r="A25" s="14" t="s">
        <v>35</v>
      </c>
      <c r="B25" s="14" t="s">
        <v>11</v>
      </c>
      <c r="C25" s="14">
        <v>86</v>
      </c>
      <c r="D25" s="15" t="s">
        <v>38</v>
      </c>
      <c r="E25" s="14">
        <v>592.04999999999995</v>
      </c>
      <c r="F25" s="14">
        <v>96.5</v>
      </c>
    </row>
    <row r="26" spans="1:6" x14ac:dyDescent="0.2">
      <c r="A26" s="14" t="s">
        <v>39</v>
      </c>
      <c r="B26" s="14" t="s">
        <v>40</v>
      </c>
      <c r="C26" s="14">
        <v>421</v>
      </c>
      <c r="D26" s="15" t="s">
        <v>41</v>
      </c>
      <c r="E26" s="14">
        <v>3186.51</v>
      </c>
      <c r="F26" s="14">
        <v>95.4</v>
      </c>
    </row>
    <row r="27" spans="1:6" x14ac:dyDescent="0.2">
      <c r="A27" s="14" t="s">
        <v>39</v>
      </c>
      <c r="B27" s="14" t="s">
        <v>9</v>
      </c>
      <c r="C27" s="14">
        <v>140</v>
      </c>
      <c r="D27" s="15" t="s">
        <v>42</v>
      </c>
      <c r="E27" s="14">
        <v>1448.88</v>
      </c>
      <c r="F27" s="14">
        <v>96.5</v>
      </c>
    </row>
    <row r="28" spans="1:6" x14ac:dyDescent="0.2">
      <c r="A28" s="14" t="s">
        <v>39</v>
      </c>
      <c r="B28" s="14" t="s">
        <v>11</v>
      </c>
      <c r="C28" s="14">
        <v>98</v>
      </c>
      <c r="D28" s="15" t="s">
        <v>43</v>
      </c>
      <c r="E28" s="14">
        <v>782.23</v>
      </c>
      <c r="F28" s="14">
        <v>95.6</v>
      </c>
    </row>
    <row r="29" spans="1:6" x14ac:dyDescent="0.2">
      <c r="A29" s="14" t="s">
        <v>44</v>
      </c>
      <c r="B29" s="14" t="s">
        <v>7</v>
      </c>
      <c r="C29" s="14">
        <v>447</v>
      </c>
      <c r="D29" s="15" t="s">
        <v>45</v>
      </c>
      <c r="E29" s="14">
        <v>4413.3599999999997</v>
      </c>
      <c r="F29" s="14">
        <v>93.6</v>
      </c>
    </row>
    <row r="30" spans="1:6" x14ac:dyDescent="0.2">
      <c r="A30" s="14" t="s">
        <v>44</v>
      </c>
      <c r="B30" s="14" t="s">
        <v>9</v>
      </c>
      <c r="C30" s="14">
        <v>142</v>
      </c>
      <c r="D30" s="15" t="s">
        <v>46</v>
      </c>
      <c r="E30" s="14">
        <v>1303.17</v>
      </c>
      <c r="F30" s="14">
        <v>95.5</v>
      </c>
    </row>
    <row r="31" spans="1:6" x14ac:dyDescent="0.2">
      <c r="A31" s="14" t="s">
        <v>44</v>
      </c>
      <c r="B31" s="14" t="s">
        <v>11</v>
      </c>
      <c r="C31" s="14">
        <v>94</v>
      </c>
      <c r="D31" s="15" t="s">
        <v>47</v>
      </c>
      <c r="E31" s="14">
        <v>644.47</v>
      </c>
      <c r="F31" s="14">
        <v>95.3</v>
      </c>
    </row>
    <row r="32" spans="1:6" x14ac:dyDescent="0.2">
      <c r="A32" s="14" t="s">
        <v>48</v>
      </c>
      <c r="B32" s="14" t="s">
        <v>7</v>
      </c>
      <c r="C32" s="14">
        <v>453</v>
      </c>
      <c r="D32" s="15" t="s">
        <v>49</v>
      </c>
      <c r="E32" s="14">
        <v>4502.63</v>
      </c>
      <c r="F32" s="14">
        <v>94.3</v>
      </c>
    </row>
    <row r="33" spans="1:6" x14ac:dyDescent="0.2">
      <c r="A33" s="14" t="s">
        <v>48</v>
      </c>
      <c r="B33" s="14" t="s">
        <v>9</v>
      </c>
      <c r="C33" s="14">
        <v>151</v>
      </c>
      <c r="D33" s="15" t="s">
        <v>50</v>
      </c>
      <c r="E33" s="14">
        <v>1648.73</v>
      </c>
      <c r="F33" s="14">
        <v>94.4</v>
      </c>
    </row>
    <row r="34" spans="1:6" x14ac:dyDescent="0.2">
      <c r="A34" s="14" t="s">
        <v>48</v>
      </c>
      <c r="B34" s="14" t="s">
        <v>11</v>
      </c>
      <c r="C34" s="14">
        <v>100</v>
      </c>
      <c r="D34" s="15" t="s">
        <v>51</v>
      </c>
      <c r="E34" s="14">
        <v>943.38</v>
      </c>
      <c r="F34" s="14">
        <v>95.8</v>
      </c>
    </row>
    <row r="35" spans="1:6" x14ac:dyDescent="0.2">
      <c r="A35" s="14" t="s">
        <v>52</v>
      </c>
      <c r="B35" s="14" t="s">
        <v>7</v>
      </c>
      <c r="C35" s="14">
        <v>460</v>
      </c>
      <c r="D35" s="15" t="s">
        <v>53</v>
      </c>
      <c r="E35" s="14">
        <v>3620.77</v>
      </c>
      <c r="F35" s="14">
        <v>93.8</v>
      </c>
    </row>
    <row r="36" spans="1:6" x14ac:dyDescent="0.2">
      <c r="A36" s="14" t="s">
        <v>52</v>
      </c>
      <c r="B36" s="14" t="s">
        <v>9</v>
      </c>
      <c r="C36" s="14">
        <v>137</v>
      </c>
      <c r="D36" s="15" t="s">
        <v>54</v>
      </c>
      <c r="E36" s="14">
        <v>1226.1099999999999</v>
      </c>
      <c r="F36" s="14">
        <v>94.3</v>
      </c>
    </row>
    <row r="37" spans="1:6" x14ac:dyDescent="0.2">
      <c r="A37" s="14" t="s">
        <v>52</v>
      </c>
      <c r="B37" s="14" t="s">
        <v>11</v>
      </c>
      <c r="C37" s="14">
        <v>90</v>
      </c>
      <c r="D37" s="15" t="s">
        <v>55</v>
      </c>
      <c r="E37" s="14">
        <v>602.94000000000005</v>
      </c>
      <c r="F37" s="14">
        <v>94.3</v>
      </c>
    </row>
    <row r="38" spans="1:6" x14ac:dyDescent="0.2">
      <c r="A38" s="14" t="s">
        <v>56</v>
      </c>
      <c r="B38" s="14" t="s">
        <v>7</v>
      </c>
      <c r="C38" s="14">
        <v>437</v>
      </c>
      <c r="D38" s="15" t="s">
        <v>57</v>
      </c>
      <c r="E38" s="14">
        <v>3459.29</v>
      </c>
      <c r="F38" s="14">
        <v>93.8</v>
      </c>
    </row>
    <row r="39" spans="1:6" x14ac:dyDescent="0.2">
      <c r="A39" s="14" t="s">
        <v>56</v>
      </c>
      <c r="B39" s="14" t="s">
        <v>9</v>
      </c>
      <c r="C39" s="14">
        <v>152</v>
      </c>
      <c r="D39" s="15" t="s">
        <v>58</v>
      </c>
      <c r="E39" s="14">
        <v>1391.52</v>
      </c>
      <c r="F39" s="14">
        <v>94.4</v>
      </c>
    </row>
    <row r="40" spans="1:6" x14ac:dyDescent="0.2">
      <c r="A40" s="14" t="s">
        <v>59</v>
      </c>
      <c r="B40" s="14" t="s">
        <v>7</v>
      </c>
      <c r="C40" s="14">
        <v>477</v>
      </c>
      <c r="D40" s="15" t="s">
        <v>60</v>
      </c>
      <c r="E40" s="14">
        <v>4041.36</v>
      </c>
      <c r="F40" s="14">
        <v>91.9</v>
      </c>
    </row>
    <row r="41" spans="1:6" x14ac:dyDescent="0.2">
      <c r="A41" s="14" t="s">
        <v>59</v>
      </c>
      <c r="B41" s="14" t="s">
        <v>9</v>
      </c>
      <c r="C41" s="14">
        <v>143</v>
      </c>
      <c r="D41" s="15" t="s">
        <v>61</v>
      </c>
      <c r="E41" s="14">
        <v>1572.47</v>
      </c>
      <c r="F41" s="14">
        <v>93.8</v>
      </c>
    </row>
    <row r="42" spans="1:6" x14ac:dyDescent="0.2">
      <c r="A42" s="14" t="s">
        <v>59</v>
      </c>
      <c r="B42" s="14" t="s">
        <v>11</v>
      </c>
      <c r="C42" s="14">
        <v>85</v>
      </c>
      <c r="D42" s="15" t="s">
        <v>62</v>
      </c>
      <c r="E42" s="14">
        <v>739.09</v>
      </c>
      <c r="F42" s="14">
        <v>93.8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8D04-069A-40FB-B8E5-E734A5C03E75}">
  <dimension ref="A1:L43"/>
  <sheetViews>
    <sheetView workbookViewId="0"/>
  </sheetViews>
  <sheetFormatPr defaultColWidth="24.5703125" defaultRowHeight="12" x14ac:dyDescent="0.2"/>
  <cols>
    <col min="1" max="1" width="24.5703125" style="1"/>
    <col min="2" max="2" width="12.5703125" style="1" bestFit="1" customWidth="1"/>
    <col min="3" max="3" width="8.140625" style="1" bestFit="1" customWidth="1"/>
    <col min="4" max="4" width="16" style="1" bestFit="1" customWidth="1"/>
    <col min="5" max="5" width="12.5703125" style="1" bestFit="1" customWidth="1"/>
    <col min="6" max="6" width="16.42578125" style="1" bestFit="1" customWidth="1"/>
    <col min="7" max="7" width="24.5703125" style="1"/>
    <col min="8" max="8" width="17.85546875" style="1" customWidth="1"/>
    <col min="9" max="9" width="20.7109375" style="1" customWidth="1"/>
    <col min="10" max="10" width="14.5703125" style="1" bestFit="1" customWidth="1"/>
    <col min="11" max="11" width="8.5703125" style="1" bestFit="1" customWidth="1"/>
    <col min="12" max="12" width="23.42578125" style="1" bestFit="1" customWidth="1"/>
    <col min="13" max="16384" width="24.5703125" style="1"/>
  </cols>
  <sheetData>
    <row r="1" spans="1:12" ht="18.75" x14ac:dyDescent="0.3">
      <c r="A1" s="16" t="s">
        <v>67</v>
      </c>
    </row>
    <row r="2" spans="1:12" x14ac:dyDescent="0.2">
      <c r="A2" s="8"/>
    </row>
    <row r="4" spans="1:12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I4" s="9"/>
    </row>
    <row r="5" spans="1:12" x14ac:dyDescent="0.2">
      <c r="A5" s="10">
        <v>46202</v>
      </c>
      <c r="B5" s="1" t="s">
        <v>7</v>
      </c>
      <c r="C5" s="11">
        <v>405</v>
      </c>
      <c r="D5" s="12">
        <v>37131.64</v>
      </c>
      <c r="E5" s="12">
        <v>2328.7800000000002</v>
      </c>
      <c r="F5" s="5">
        <v>0.96599999999999997</v>
      </c>
    </row>
    <row r="6" spans="1:12" x14ac:dyDescent="0.2">
      <c r="A6" s="10">
        <v>46202</v>
      </c>
      <c r="B6" s="1" t="s">
        <v>9</v>
      </c>
      <c r="C6" s="11">
        <v>161</v>
      </c>
      <c r="D6" s="12">
        <v>65123.41</v>
      </c>
      <c r="E6" s="12">
        <v>1412.2</v>
      </c>
      <c r="F6" s="5">
        <v>0.97499999999999998</v>
      </c>
    </row>
    <row r="7" spans="1:12" x14ac:dyDescent="0.2">
      <c r="A7" s="10">
        <v>46202</v>
      </c>
      <c r="B7" s="1" t="s">
        <v>11</v>
      </c>
      <c r="C7" s="11">
        <v>81</v>
      </c>
      <c r="D7" s="12">
        <v>26552.63</v>
      </c>
      <c r="E7" s="12">
        <v>578.15</v>
      </c>
      <c r="F7" s="5">
        <v>0.96699999999999997</v>
      </c>
      <c r="H7" s="6" t="s">
        <v>117</v>
      </c>
    </row>
    <row r="8" spans="1:12" x14ac:dyDescent="0.2">
      <c r="A8" s="10">
        <v>46209</v>
      </c>
      <c r="B8" s="1" t="s">
        <v>7</v>
      </c>
      <c r="C8" s="11">
        <v>418</v>
      </c>
      <c r="D8" s="12">
        <v>41007.93</v>
      </c>
      <c r="E8" s="12">
        <v>2310.12</v>
      </c>
      <c r="F8" s="5">
        <v>0.96499999999999997</v>
      </c>
      <c r="H8" s="3" t="s">
        <v>63</v>
      </c>
      <c r="I8" s="1" t="s">
        <v>118</v>
      </c>
      <c r="J8" s="1" t="s">
        <v>119</v>
      </c>
    </row>
    <row r="9" spans="1:12" x14ac:dyDescent="0.2">
      <c r="A9" s="10">
        <v>46209</v>
      </c>
      <c r="B9" s="1" t="s">
        <v>9</v>
      </c>
      <c r="C9" s="11">
        <v>163</v>
      </c>
      <c r="D9" s="12">
        <v>69822.039999999994</v>
      </c>
      <c r="E9" s="12">
        <v>1785.93</v>
      </c>
      <c r="F9" s="5">
        <v>0.97</v>
      </c>
      <c r="H9" s="4" t="s">
        <v>7</v>
      </c>
      <c r="I9" s="12">
        <v>546379.29999999993</v>
      </c>
      <c r="J9" s="12">
        <v>44367.06</v>
      </c>
    </row>
    <row r="10" spans="1:12" x14ac:dyDescent="0.2">
      <c r="A10" s="10">
        <v>46209</v>
      </c>
      <c r="B10" s="1" t="s">
        <v>11</v>
      </c>
      <c r="C10" s="11">
        <v>98</v>
      </c>
      <c r="D10" s="12">
        <v>30873.65</v>
      </c>
      <c r="E10" s="12">
        <v>854.85</v>
      </c>
      <c r="F10" s="5">
        <v>0.96799999999999997</v>
      </c>
      <c r="H10" s="4" t="s">
        <v>11</v>
      </c>
      <c r="I10" s="12">
        <v>355812.79000000004</v>
      </c>
      <c r="J10" s="12">
        <v>7774.260000000002</v>
      </c>
    </row>
    <row r="11" spans="1:12" x14ac:dyDescent="0.2">
      <c r="A11" s="10">
        <v>46216</v>
      </c>
      <c r="B11" s="1" t="s">
        <v>7</v>
      </c>
      <c r="C11" s="11">
        <v>399</v>
      </c>
      <c r="D11" s="12">
        <v>36456.239999999998</v>
      </c>
      <c r="E11" s="12">
        <v>2302.23</v>
      </c>
      <c r="F11" s="5">
        <v>0.97299999999999998</v>
      </c>
      <c r="H11" s="4" t="s">
        <v>9</v>
      </c>
      <c r="I11" s="12">
        <v>739819.81000000017</v>
      </c>
      <c r="J11" s="12">
        <v>19611.54</v>
      </c>
    </row>
    <row r="12" spans="1:12" x14ac:dyDescent="0.2">
      <c r="A12" s="10">
        <v>46216</v>
      </c>
      <c r="B12" s="1" t="s">
        <v>9</v>
      </c>
      <c r="C12" s="11">
        <v>147</v>
      </c>
      <c r="D12" s="12">
        <v>60761.8</v>
      </c>
      <c r="E12" s="12">
        <v>1582.35</v>
      </c>
      <c r="F12" s="5">
        <v>0.96699999999999997</v>
      </c>
      <c r="H12" s="4" t="s">
        <v>64</v>
      </c>
      <c r="I12" s="12">
        <v>1642011.9000000001</v>
      </c>
      <c r="J12" s="12">
        <v>71752.86</v>
      </c>
    </row>
    <row r="13" spans="1:12" x14ac:dyDescent="0.2">
      <c r="A13" s="10">
        <v>46216</v>
      </c>
      <c r="B13" s="1" t="s">
        <v>11</v>
      </c>
      <c r="C13" s="11">
        <v>91</v>
      </c>
      <c r="D13" s="12">
        <v>28717.06</v>
      </c>
      <c r="E13" s="12">
        <v>623.07000000000005</v>
      </c>
      <c r="F13" s="5">
        <v>0.96399999999999997</v>
      </c>
    </row>
    <row r="14" spans="1:12" x14ac:dyDescent="0.2">
      <c r="A14" s="10">
        <v>46223</v>
      </c>
      <c r="B14" s="1" t="s">
        <v>7</v>
      </c>
      <c r="C14" s="11">
        <v>450</v>
      </c>
      <c r="D14" s="12">
        <v>42440.46</v>
      </c>
      <c r="E14" s="12">
        <v>2825.23</v>
      </c>
      <c r="F14" s="5">
        <v>0.96499999999999997</v>
      </c>
    </row>
    <row r="15" spans="1:12" x14ac:dyDescent="0.2">
      <c r="A15" s="10">
        <v>46223</v>
      </c>
      <c r="B15" s="1" t="s">
        <v>9</v>
      </c>
      <c r="C15" s="11">
        <v>155</v>
      </c>
      <c r="D15" s="12">
        <v>62277.52</v>
      </c>
      <c r="E15" s="12">
        <v>1694.44</v>
      </c>
      <c r="F15" s="5">
        <v>0.97099999999999997</v>
      </c>
      <c r="H15" s="13" t="s">
        <v>120</v>
      </c>
    </row>
    <row r="16" spans="1:12" x14ac:dyDescent="0.2">
      <c r="A16" s="10">
        <v>46223</v>
      </c>
      <c r="B16" s="1" t="s">
        <v>11</v>
      </c>
      <c r="C16" s="11">
        <v>86</v>
      </c>
      <c r="D16" s="12">
        <v>28591.21</v>
      </c>
      <c r="E16" s="24"/>
      <c r="F16" s="5">
        <v>0.97499999999999998</v>
      </c>
      <c r="H16" s="17" t="s">
        <v>1</v>
      </c>
      <c r="I16" s="17" t="s">
        <v>121</v>
      </c>
      <c r="J16" s="17" t="s">
        <v>122</v>
      </c>
      <c r="K16" s="17" t="s">
        <v>123</v>
      </c>
      <c r="L16" s="17" t="s">
        <v>124</v>
      </c>
    </row>
    <row r="17" spans="1:12" x14ac:dyDescent="0.2">
      <c r="A17" s="10">
        <v>46230</v>
      </c>
      <c r="B17" s="1" t="s">
        <v>7</v>
      </c>
      <c r="C17" s="11">
        <v>460</v>
      </c>
      <c r="D17" s="12">
        <v>42773.29</v>
      </c>
      <c r="E17" s="12">
        <v>3621.18</v>
      </c>
      <c r="F17" s="5">
        <v>0.95099999999999996</v>
      </c>
      <c r="H17" s="18" t="str">
        <f>Dashboard!A12</f>
        <v>DTC Online</v>
      </c>
      <c r="I17" s="19">
        <f>Dashboard!B12</f>
        <v>546379.29999999993</v>
      </c>
      <c r="J17" s="19">
        <f>GETPIVOTDATA("Pivot gross (USD)",$H$8,"Channel",H17)</f>
        <v>546379.29999999993</v>
      </c>
      <c r="K17" s="19">
        <f>I17-J17</f>
        <v>0</v>
      </c>
      <c r="L17" s="19">
        <f>Dashboard!B61-GETPIVOTDATA("Pivot returns (USD)",$H$8,"Channel",H17)</f>
        <v>0</v>
      </c>
    </row>
    <row r="18" spans="1:12" x14ac:dyDescent="0.2">
      <c r="A18" s="10">
        <v>46230</v>
      </c>
      <c r="B18" s="1" t="s">
        <v>9</v>
      </c>
      <c r="C18" s="11">
        <v>153</v>
      </c>
      <c r="D18" s="12">
        <v>64343.05</v>
      </c>
      <c r="E18" s="12">
        <v>1440.63</v>
      </c>
      <c r="F18" s="5">
        <v>0.96499999999999997</v>
      </c>
      <c r="H18" s="18" t="str">
        <f>Dashboard!A13</f>
        <v>TrailMart</v>
      </c>
      <c r="I18" s="19">
        <f>Dashboard!B13</f>
        <v>739819.81000000017</v>
      </c>
      <c r="J18" s="19">
        <f>GETPIVOTDATA("Pivot gross (USD)",$H$8,"Channel",H18)</f>
        <v>739819.81000000017</v>
      </c>
      <c r="K18" s="19">
        <f>I18-J18</f>
        <v>0</v>
      </c>
      <c r="L18" s="19"/>
    </row>
    <row r="19" spans="1:12" x14ac:dyDescent="0.2">
      <c r="A19" s="10">
        <v>46230</v>
      </c>
      <c r="B19" s="1" t="s">
        <v>11</v>
      </c>
      <c r="C19" s="11">
        <v>83</v>
      </c>
      <c r="D19" s="12">
        <v>27850.74</v>
      </c>
      <c r="E19" s="12">
        <v>751.53</v>
      </c>
      <c r="F19" s="5">
        <v>0.96599999999999997</v>
      </c>
      <c r="H19" s="18" t="str">
        <f>Dashboard!A14</f>
        <v>Other Wholesale</v>
      </c>
      <c r="I19" s="19">
        <f>Dashboard!B14</f>
        <v>355812.79000000004</v>
      </c>
      <c r="J19" s="19">
        <f>GETPIVOTDATA("Pivot gross (USD)",$H$8,"Channel",H19)</f>
        <v>355812.79000000004</v>
      </c>
      <c r="K19" s="19">
        <f>I19-J19</f>
        <v>0</v>
      </c>
      <c r="L19" s="19"/>
    </row>
    <row r="20" spans="1:12" x14ac:dyDescent="0.2">
      <c r="A20" s="10">
        <v>46237</v>
      </c>
      <c r="B20" s="1" t="s">
        <v>7</v>
      </c>
      <c r="C20" s="11">
        <v>478</v>
      </c>
      <c r="D20" s="12">
        <v>44564.23</v>
      </c>
      <c r="E20" s="12">
        <v>3656.08</v>
      </c>
      <c r="F20" s="5">
        <v>0.95699999999999996</v>
      </c>
      <c r="H20" s="18" t="s">
        <v>66</v>
      </c>
      <c r="I20" s="19">
        <f>Dashboard!B15</f>
        <v>1642011.9000000001</v>
      </c>
      <c r="J20" s="19">
        <f>GETPIVOTDATA("Pivot gross (USD)",$H$8)</f>
        <v>1642011.9000000001</v>
      </c>
      <c r="K20" s="19">
        <f>I20-J20</f>
        <v>0</v>
      </c>
      <c r="L20" s="19"/>
    </row>
    <row r="21" spans="1:12" x14ac:dyDescent="0.2">
      <c r="A21" s="10">
        <v>46237</v>
      </c>
      <c r="B21" s="1" t="s">
        <v>9</v>
      </c>
      <c r="C21" s="11">
        <v>157</v>
      </c>
      <c r="D21" s="12">
        <v>64088.09</v>
      </c>
      <c r="E21" s="12">
        <v>1765.61</v>
      </c>
      <c r="F21" s="5">
        <v>0.97099999999999997</v>
      </c>
    </row>
    <row r="22" spans="1:12" x14ac:dyDescent="0.2">
      <c r="A22" s="10">
        <v>46237</v>
      </c>
      <c r="B22" s="1" t="s">
        <v>11</v>
      </c>
      <c r="C22" s="11">
        <v>91</v>
      </c>
      <c r="D22" s="12">
        <v>30522.95</v>
      </c>
      <c r="E22" s="12">
        <v>662.5</v>
      </c>
      <c r="F22" s="5">
        <v>0.96699999999999997</v>
      </c>
      <c r="H22" s="22" t="s">
        <v>125</v>
      </c>
      <c r="I22" s="23" t="str" cm="1">
        <f t="array" ref="I22">IF(AND(ROUND(SUMPRODUCT(ABS(K17:K20)),2)=0,ROUND(L17,2)=0),"RECONCILED","CHECK")</f>
        <v>RECONCILED</v>
      </c>
    </row>
    <row r="23" spans="1:12" x14ac:dyDescent="0.2">
      <c r="A23" s="10">
        <v>46244</v>
      </c>
      <c r="B23" s="1" t="s">
        <v>7</v>
      </c>
      <c r="C23" s="11">
        <v>463</v>
      </c>
      <c r="D23" s="12">
        <v>46153.88</v>
      </c>
      <c r="E23" s="12">
        <v>4099.5200000000004</v>
      </c>
      <c r="F23" s="5">
        <v>0.94699999999999995</v>
      </c>
    </row>
    <row r="24" spans="1:12" x14ac:dyDescent="0.2">
      <c r="A24" s="10">
        <v>46244</v>
      </c>
      <c r="B24" s="1" t="s">
        <v>9</v>
      </c>
      <c r="C24" s="11">
        <v>150</v>
      </c>
      <c r="D24" s="12">
        <v>62537.21</v>
      </c>
      <c r="E24" s="12">
        <v>1339.5</v>
      </c>
      <c r="F24" s="5">
        <v>0.95899999999999996</v>
      </c>
    </row>
    <row r="25" spans="1:12" x14ac:dyDescent="0.2">
      <c r="A25" s="10">
        <v>46244</v>
      </c>
      <c r="B25" s="1" t="s">
        <v>11</v>
      </c>
      <c r="C25" s="11">
        <v>86</v>
      </c>
      <c r="D25" s="12">
        <v>27293.32</v>
      </c>
      <c r="E25" s="12">
        <v>592.04999999999995</v>
      </c>
      <c r="F25" s="5">
        <v>0.96499999999999997</v>
      </c>
      <c r="H25" s="6" t="s">
        <v>139</v>
      </c>
    </row>
    <row r="26" spans="1:12" x14ac:dyDescent="0.2">
      <c r="A26" s="10">
        <v>46251</v>
      </c>
      <c r="B26" s="1" t="s">
        <v>7</v>
      </c>
      <c r="C26" s="11">
        <v>421</v>
      </c>
      <c r="D26" s="12">
        <v>38985.589999999997</v>
      </c>
      <c r="E26" s="12">
        <v>3186.51</v>
      </c>
      <c r="F26" s="5">
        <v>0.95399999999999996</v>
      </c>
    </row>
    <row r="27" spans="1:12" x14ac:dyDescent="0.2">
      <c r="A27" s="10">
        <v>46251</v>
      </c>
      <c r="B27" s="1" t="s">
        <v>9</v>
      </c>
      <c r="C27" s="11">
        <v>140</v>
      </c>
      <c r="D27" s="12">
        <v>57108.34</v>
      </c>
      <c r="E27" s="12">
        <v>1448.88</v>
      </c>
      <c r="F27" s="5">
        <v>0.96499999999999997</v>
      </c>
      <c r="H27" s="20" t="s">
        <v>1</v>
      </c>
      <c r="I27" s="20" t="s">
        <v>65</v>
      </c>
    </row>
    <row r="28" spans="1:12" x14ac:dyDescent="0.2">
      <c r="A28" s="10">
        <v>46251</v>
      </c>
      <c r="B28" s="1" t="s">
        <v>11</v>
      </c>
      <c r="C28" s="11">
        <v>98</v>
      </c>
      <c r="D28" s="12">
        <v>33517.129999999997</v>
      </c>
      <c r="E28" s="12">
        <v>782.23</v>
      </c>
      <c r="F28" s="5">
        <v>0.95599999999999996</v>
      </c>
      <c r="H28" s="2" t="s">
        <v>7</v>
      </c>
      <c r="I28" s="21">
        <v>520000</v>
      </c>
    </row>
    <row r="29" spans="1:12" x14ac:dyDescent="0.2">
      <c r="A29" s="10">
        <v>46258</v>
      </c>
      <c r="B29" s="1" t="s">
        <v>7</v>
      </c>
      <c r="C29" s="11">
        <v>447</v>
      </c>
      <c r="D29" s="12">
        <v>44096.47</v>
      </c>
      <c r="E29" s="12">
        <v>4413.3599999999997</v>
      </c>
      <c r="F29" s="5">
        <v>0.93600000000000005</v>
      </c>
      <c r="H29" s="2" t="s">
        <v>9</v>
      </c>
      <c r="I29" s="21">
        <v>860000</v>
      </c>
    </row>
    <row r="30" spans="1:12" x14ac:dyDescent="0.2">
      <c r="A30" s="10">
        <v>46258</v>
      </c>
      <c r="B30" s="1" t="s">
        <v>9</v>
      </c>
      <c r="C30" s="11">
        <v>142</v>
      </c>
      <c r="D30" s="24"/>
      <c r="E30" s="12">
        <v>1303.17</v>
      </c>
      <c r="F30" s="5">
        <v>0.95499999999999996</v>
      </c>
      <c r="H30" s="2" t="s">
        <v>11</v>
      </c>
      <c r="I30" s="21">
        <v>380000</v>
      </c>
    </row>
    <row r="31" spans="1:12" x14ac:dyDescent="0.2">
      <c r="A31" s="10">
        <v>46258</v>
      </c>
      <c r="B31" s="1" t="s">
        <v>11</v>
      </c>
      <c r="C31" s="11">
        <v>94</v>
      </c>
      <c r="D31" s="12">
        <v>30284.04</v>
      </c>
      <c r="E31" s="12">
        <v>644.47</v>
      </c>
      <c r="F31" s="5">
        <v>0.95299999999999996</v>
      </c>
      <c r="H31" s="2" t="s">
        <v>66</v>
      </c>
      <c r="I31" s="21">
        <v>1760000</v>
      </c>
    </row>
    <row r="32" spans="1:12" x14ac:dyDescent="0.2">
      <c r="A32" s="10">
        <v>46265</v>
      </c>
      <c r="B32" s="1" t="s">
        <v>7</v>
      </c>
      <c r="C32" s="11">
        <v>453</v>
      </c>
      <c r="D32" s="12">
        <v>43320.5</v>
      </c>
      <c r="E32" s="12">
        <v>4502.63</v>
      </c>
      <c r="F32" s="5">
        <v>0.94299999999999995</v>
      </c>
    </row>
    <row r="33" spans="1:8" x14ac:dyDescent="0.2">
      <c r="A33" s="10">
        <v>46265</v>
      </c>
      <c r="B33" s="1" t="s">
        <v>9</v>
      </c>
      <c r="C33" s="11">
        <v>151</v>
      </c>
      <c r="D33" s="12">
        <v>62638.02</v>
      </c>
      <c r="E33" s="12">
        <v>1648.73</v>
      </c>
      <c r="F33" s="5">
        <v>0.94399999999999995</v>
      </c>
      <c r="H33" s="1" t="s">
        <v>140</v>
      </c>
    </row>
    <row r="34" spans="1:8" x14ac:dyDescent="0.2">
      <c r="A34" s="10">
        <v>46265</v>
      </c>
      <c r="B34" s="1" t="s">
        <v>11</v>
      </c>
      <c r="C34" s="11">
        <v>100</v>
      </c>
      <c r="D34" s="12">
        <v>33923.9</v>
      </c>
      <c r="E34" s="12">
        <v>943.38</v>
      </c>
      <c r="F34" s="5">
        <v>0.95799999999999996</v>
      </c>
      <c r="H34" s="1" t="s">
        <v>141</v>
      </c>
    </row>
    <row r="35" spans="1:8" x14ac:dyDescent="0.2">
      <c r="A35" s="10">
        <v>46272</v>
      </c>
      <c r="B35" s="1" t="s">
        <v>7</v>
      </c>
      <c r="C35" s="11">
        <v>460</v>
      </c>
      <c r="D35" s="12">
        <v>43258.54</v>
      </c>
      <c r="E35" s="12">
        <v>3620.77</v>
      </c>
      <c r="F35" s="5">
        <v>0.93799999999999994</v>
      </c>
    </row>
    <row r="36" spans="1:8" x14ac:dyDescent="0.2">
      <c r="A36" s="10">
        <v>46272</v>
      </c>
      <c r="B36" s="1" t="s">
        <v>9</v>
      </c>
      <c r="C36" s="11">
        <v>137</v>
      </c>
      <c r="D36" s="12">
        <v>53739.79</v>
      </c>
      <c r="E36" s="12">
        <v>1226.1099999999999</v>
      </c>
      <c r="F36" s="5">
        <v>0.94299999999999995</v>
      </c>
    </row>
    <row r="37" spans="1:8" x14ac:dyDescent="0.2">
      <c r="A37" s="10">
        <v>46272</v>
      </c>
      <c r="B37" s="1" t="s">
        <v>11</v>
      </c>
      <c r="C37" s="11">
        <v>90</v>
      </c>
      <c r="D37" s="12">
        <v>28371.15</v>
      </c>
      <c r="E37" s="12">
        <v>602.94000000000005</v>
      </c>
      <c r="F37" s="5">
        <v>0.94299999999999995</v>
      </c>
    </row>
    <row r="38" spans="1:8" x14ac:dyDescent="0.2">
      <c r="A38" s="10">
        <v>46279</v>
      </c>
      <c r="B38" s="1" t="s">
        <v>7</v>
      </c>
      <c r="C38" s="11">
        <v>437</v>
      </c>
      <c r="D38" s="12">
        <v>40948.78</v>
      </c>
      <c r="E38" s="12">
        <v>3459.29</v>
      </c>
      <c r="F38" s="5">
        <v>0.93799999999999994</v>
      </c>
    </row>
    <row r="39" spans="1:8" x14ac:dyDescent="0.2">
      <c r="A39" s="10">
        <v>46279</v>
      </c>
      <c r="B39" s="1" t="s">
        <v>9</v>
      </c>
      <c r="C39" s="11">
        <v>152</v>
      </c>
      <c r="D39" s="12">
        <v>60129.77</v>
      </c>
      <c r="E39" s="12">
        <v>1391.52</v>
      </c>
      <c r="F39" s="5">
        <v>0.94399999999999995</v>
      </c>
    </row>
    <row r="40" spans="1:8" x14ac:dyDescent="0.2">
      <c r="A40" s="25">
        <v>46279</v>
      </c>
      <c r="B40" s="22" t="s">
        <v>11</v>
      </c>
      <c r="C40" s="26"/>
      <c r="D40" s="24"/>
      <c r="E40" s="24"/>
      <c r="F40" s="27"/>
    </row>
    <row r="41" spans="1:8" x14ac:dyDescent="0.2">
      <c r="A41" s="10">
        <v>46286</v>
      </c>
      <c r="B41" s="1" t="s">
        <v>7</v>
      </c>
      <c r="C41" s="11">
        <v>477</v>
      </c>
      <c r="D41" s="12">
        <v>45241.75</v>
      </c>
      <c r="E41" s="12">
        <v>4041.36</v>
      </c>
      <c r="F41" s="5">
        <v>0.91900000000000004</v>
      </c>
    </row>
    <row r="42" spans="1:8" x14ac:dyDescent="0.2">
      <c r="A42" s="10">
        <v>46286</v>
      </c>
      <c r="B42" s="1" t="s">
        <v>9</v>
      </c>
      <c r="C42" s="11">
        <v>143</v>
      </c>
      <c r="D42" s="12">
        <v>57250.77</v>
      </c>
      <c r="E42" s="12">
        <v>1572.47</v>
      </c>
      <c r="F42" s="5">
        <v>0.93799999999999994</v>
      </c>
    </row>
    <row r="43" spans="1:8" x14ac:dyDescent="0.2">
      <c r="A43" s="10">
        <v>46286</v>
      </c>
      <c r="B43" s="1" t="s">
        <v>11</v>
      </c>
      <c r="C43" s="11">
        <v>85</v>
      </c>
      <c r="D43" s="12">
        <v>29315.01</v>
      </c>
      <c r="E43" s="12">
        <v>739.09</v>
      </c>
      <c r="F43" s="5">
        <v>0.93799999999999994</v>
      </c>
    </row>
  </sheetData>
  <pageMargins left="0.7" right="0.7" top="0.75" bottom="0.75" header="0.3" footer="0.3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606EA-4C0C-4CAA-9267-723DC34302EB}">
  <dimension ref="A1:F27"/>
  <sheetViews>
    <sheetView workbookViewId="0">
      <selection activeCell="C32" sqref="C32"/>
    </sheetView>
  </sheetViews>
  <sheetFormatPr defaultRowHeight="12" x14ac:dyDescent="0.2"/>
  <cols>
    <col min="1" max="1" width="14.85546875" style="1" customWidth="1"/>
    <col min="2" max="2" width="18.85546875" style="1" customWidth="1"/>
    <col min="3" max="3" width="51.5703125" style="1" bestFit="1" customWidth="1"/>
    <col min="4" max="4" width="47.140625" style="1" bestFit="1" customWidth="1"/>
    <col min="5" max="6" width="49.5703125" style="1" customWidth="1"/>
    <col min="7" max="16384" width="9.140625" style="1"/>
  </cols>
  <sheetData>
    <row r="1" spans="1:4" ht="18.75" x14ac:dyDescent="0.3">
      <c r="A1" s="16" t="s">
        <v>67</v>
      </c>
    </row>
    <row r="2" spans="1:4" x14ac:dyDescent="0.2">
      <c r="A2" s="7"/>
    </row>
    <row r="3" spans="1:4" x14ac:dyDescent="0.2">
      <c r="A3" s="6" t="s">
        <v>133</v>
      </c>
    </row>
    <row r="5" spans="1:4" x14ac:dyDescent="0.2">
      <c r="A5" s="28" t="s">
        <v>70</v>
      </c>
      <c r="B5" s="28" t="s">
        <v>71</v>
      </c>
      <c r="C5" s="28" t="s">
        <v>72</v>
      </c>
      <c r="D5" s="28" t="s">
        <v>73</v>
      </c>
    </row>
    <row r="6" spans="1:4" x14ac:dyDescent="0.2">
      <c r="A6" s="29">
        <v>1</v>
      </c>
      <c r="B6" s="29" t="s">
        <v>3</v>
      </c>
      <c r="C6" s="29" t="s">
        <v>74</v>
      </c>
      <c r="D6" s="29" t="s">
        <v>75</v>
      </c>
    </row>
    <row r="7" spans="1:4" x14ac:dyDescent="0.2">
      <c r="A7" s="29">
        <v>2</v>
      </c>
      <c r="B7" s="29" t="s">
        <v>3</v>
      </c>
      <c r="C7" s="29" t="s">
        <v>76</v>
      </c>
      <c r="D7" s="29" t="s">
        <v>77</v>
      </c>
    </row>
    <row r="8" spans="1:4" x14ac:dyDescent="0.2">
      <c r="A8" s="29">
        <v>3</v>
      </c>
      <c r="B8" s="29" t="s">
        <v>0</v>
      </c>
      <c r="C8" s="29" t="s">
        <v>132</v>
      </c>
      <c r="D8" s="29" t="s">
        <v>78</v>
      </c>
    </row>
    <row r="9" spans="1:4" x14ac:dyDescent="0.2">
      <c r="A9" s="29">
        <v>4</v>
      </c>
      <c r="B9" s="29" t="s">
        <v>1</v>
      </c>
      <c r="C9" s="29" t="s">
        <v>79</v>
      </c>
      <c r="D9" s="29" t="s">
        <v>80</v>
      </c>
    </row>
    <row r="10" spans="1:4" x14ac:dyDescent="0.2">
      <c r="A10" s="29">
        <v>5</v>
      </c>
      <c r="B10" s="29" t="s">
        <v>1</v>
      </c>
      <c r="C10" s="29" t="s">
        <v>81</v>
      </c>
      <c r="D10" s="29" t="s">
        <v>82</v>
      </c>
    </row>
    <row r="11" spans="1:4" x14ac:dyDescent="0.2">
      <c r="A11" s="29">
        <v>6</v>
      </c>
      <c r="B11" s="29" t="s">
        <v>5</v>
      </c>
      <c r="C11" s="29" t="s">
        <v>83</v>
      </c>
      <c r="D11" s="29" t="s">
        <v>84</v>
      </c>
    </row>
    <row r="12" spans="1:4" x14ac:dyDescent="0.2">
      <c r="A12" s="29">
        <v>7</v>
      </c>
      <c r="B12" s="29" t="s">
        <v>85</v>
      </c>
      <c r="C12" s="29" t="s">
        <v>86</v>
      </c>
      <c r="D12" s="29" t="s">
        <v>87</v>
      </c>
    </row>
    <row r="13" spans="1:4" ht="36" x14ac:dyDescent="0.2">
      <c r="A13" s="29">
        <v>8</v>
      </c>
      <c r="B13" s="29" t="s">
        <v>3</v>
      </c>
      <c r="C13" s="29" t="s">
        <v>88</v>
      </c>
      <c r="D13" s="29" t="s">
        <v>151</v>
      </c>
    </row>
    <row r="14" spans="1:4" x14ac:dyDescent="0.2">
      <c r="A14" s="29">
        <v>9</v>
      </c>
      <c r="B14" s="29" t="s">
        <v>4</v>
      </c>
      <c r="C14" s="29" t="s">
        <v>89</v>
      </c>
      <c r="D14" s="29" t="s">
        <v>131</v>
      </c>
    </row>
    <row r="15" spans="1:4" ht="24" x14ac:dyDescent="0.2">
      <c r="A15" s="29">
        <v>10</v>
      </c>
      <c r="B15" s="29" t="s">
        <v>85</v>
      </c>
      <c r="C15" s="29" t="s">
        <v>90</v>
      </c>
      <c r="D15" s="29" t="s">
        <v>91</v>
      </c>
    </row>
    <row r="16" spans="1:4" x14ac:dyDescent="0.2">
      <c r="A16" s="29">
        <v>11</v>
      </c>
      <c r="B16" s="29" t="s">
        <v>68</v>
      </c>
      <c r="C16" s="29" t="s">
        <v>152</v>
      </c>
      <c r="D16" s="29" t="s">
        <v>153</v>
      </c>
    </row>
    <row r="19" spans="1:6" x14ac:dyDescent="0.2">
      <c r="A19" s="6" t="s">
        <v>126</v>
      </c>
    </row>
    <row r="20" spans="1:6" ht="72" customHeight="1" x14ac:dyDescent="0.2">
      <c r="A20" s="55" t="s">
        <v>148</v>
      </c>
      <c r="B20" s="55"/>
      <c r="C20" s="55"/>
      <c r="D20" s="55"/>
      <c r="E20" s="30"/>
      <c r="F20" s="30"/>
    </row>
    <row r="21" spans="1:6" x14ac:dyDescent="0.2">
      <c r="A21" s="55"/>
      <c r="B21" s="55"/>
      <c r="C21" s="55"/>
      <c r="D21" s="55"/>
      <c r="E21" s="30"/>
      <c r="F21" s="30"/>
    </row>
    <row r="22" spans="1:6" x14ac:dyDescent="0.2">
      <c r="A22" s="55"/>
      <c r="B22" s="55"/>
      <c r="C22" s="55"/>
      <c r="D22" s="55"/>
      <c r="E22" s="30"/>
      <c r="F22" s="30"/>
    </row>
    <row r="24" spans="1:6" x14ac:dyDescent="0.2">
      <c r="A24" s="6" t="s">
        <v>155</v>
      </c>
    </row>
    <row r="25" spans="1:6" ht="36" x14ac:dyDescent="0.2">
      <c r="A25" s="6" t="s">
        <v>127</v>
      </c>
      <c r="B25" s="30" t="s">
        <v>149</v>
      </c>
      <c r="C25" s="30"/>
      <c r="D25" s="30"/>
      <c r="E25" s="30"/>
      <c r="F25" s="30"/>
    </row>
    <row r="26" spans="1:6" ht="48.75" customHeight="1" x14ac:dyDescent="0.2">
      <c r="A26" s="6" t="s">
        <v>128</v>
      </c>
      <c r="B26" s="54" t="s">
        <v>150</v>
      </c>
      <c r="C26" s="54"/>
      <c r="D26" s="54"/>
      <c r="E26" s="30"/>
      <c r="F26" s="30"/>
    </row>
    <row r="27" spans="1:6" ht="12" customHeight="1" x14ac:dyDescent="0.2">
      <c r="A27" s="6" t="s">
        <v>129</v>
      </c>
      <c r="B27" s="54" t="s">
        <v>130</v>
      </c>
      <c r="C27" s="54"/>
      <c r="D27" s="54"/>
      <c r="E27" s="30"/>
      <c r="F27" s="30"/>
    </row>
  </sheetData>
  <mergeCells count="3">
    <mergeCell ref="B27:D27"/>
    <mergeCell ref="A20:D22"/>
    <mergeCell ref="B26:D2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B5D27-F438-43B3-B2F7-A77E136BD7D6}">
  <sheetPr>
    <pageSetUpPr fitToPage="1"/>
  </sheetPr>
  <dimension ref="A1:O79"/>
  <sheetViews>
    <sheetView showGridLines="0" tabSelected="1" workbookViewId="0">
      <selection activeCell="D3" sqref="D3"/>
    </sheetView>
  </sheetViews>
  <sheetFormatPr defaultRowHeight="12" x14ac:dyDescent="0.2"/>
  <cols>
    <col min="1" max="1" width="26" style="31" customWidth="1"/>
    <col min="2" max="3" width="13.7109375" style="31" customWidth="1"/>
    <col min="4" max="4" width="11.5703125" style="31" customWidth="1"/>
    <col min="5" max="6" width="13.7109375" style="31" customWidth="1"/>
    <col min="7" max="7" width="11.28515625" style="31" bestFit="1" customWidth="1"/>
    <col min="8" max="8" width="7.140625" style="58" customWidth="1"/>
    <col min="9" max="9" width="18.140625" style="31" customWidth="1"/>
    <col min="10" max="14" width="13" style="31" customWidth="1"/>
    <col min="15" max="15" width="15.85546875" style="31" customWidth="1"/>
    <col min="16" max="16384" width="9.140625" style="31"/>
  </cols>
  <sheetData>
    <row r="1" spans="1:15" s="1" customFormat="1" ht="18.75" x14ac:dyDescent="0.3">
      <c r="A1" s="16" t="s">
        <v>67</v>
      </c>
      <c r="H1" s="57"/>
    </row>
    <row r="2" spans="1:15" s="1" customFormat="1" x14ac:dyDescent="0.2">
      <c r="A2" s="7"/>
      <c r="H2" s="57"/>
    </row>
    <row r="4" spans="1:15" s="45" customFormat="1" ht="15" x14ac:dyDescent="0.25">
      <c r="A4" s="52" t="s">
        <v>112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</row>
    <row r="5" spans="1:15" ht="24" customHeight="1" x14ac:dyDescent="0.2">
      <c r="A5" s="51" t="s">
        <v>146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x14ac:dyDescent="0.2">
      <c r="A6" s="51" t="s">
        <v>137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</row>
    <row r="7" spans="1:15" ht="24" customHeight="1" x14ac:dyDescent="0.2">
      <c r="A7" s="51" t="s">
        <v>138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9" spans="1:15" x14ac:dyDescent="0.2">
      <c r="A9" s="84" t="s">
        <v>113</v>
      </c>
      <c r="B9" s="85"/>
      <c r="C9" s="85"/>
      <c r="D9" s="85"/>
      <c r="E9" s="85"/>
      <c r="F9" s="85"/>
      <c r="I9" s="84" t="s">
        <v>114</v>
      </c>
      <c r="J9" s="85"/>
      <c r="K9" s="85"/>
      <c r="L9" s="85"/>
      <c r="M9" s="85"/>
      <c r="N9" s="85"/>
      <c r="O9" s="85"/>
    </row>
    <row r="10" spans="1:15" ht="38.1" customHeight="1" x14ac:dyDescent="0.2">
      <c r="A10" s="47" t="s">
        <v>147</v>
      </c>
      <c r="B10" s="48"/>
      <c r="C10" s="48"/>
      <c r="D10" s="48"/>
      <c r="E10" s="48"/>
      <c r="F10" s="48"/>
      <c r="I10" s="47" t="s">
        <v>134</v>
      </c>
      <c r="J10" s="48"/>
      <c r="K10" s="48"/>
      <c r="L10" s="48"/>
      <c r="M10" s="48"/>
      <c r="N10" s="48"/>
      <c r="O10" s="48"/>
    </row>
    <row r="11" spans="1:15" ht="26.1" customHeight="1" x14ac:dyDescent="0.2">
      <c r="A11" s="80" t="s">
        <v>1</v>
      </c>
      <c r="B11" s="80" t="s">
        <v>103</v>
      </c>
      <c r="C11" s="80" t="s">
        <v>145</v>
      </c>
      <c r="D11" s="80" t="s">
        <v>106</v>
      </c>
      <c r="E11" s="80" t="s">
        <v>144</v>
      </c>
      <c r="F11" s="80" t="s">
        <v>104</v>
      </c>
      <c r="G11" s="80" t="s">
        <v>105</v>
      </c>
      <c r="H11" s="59"/>
    </row>
    <row r="12" spans="1:15" x14ac:dyDescent="0.2">
      <c r="A12" s="37" t="str">
        <f>A54</f>
        <v>DTC Online</v>
      </c>
      <c r="B12" s="72">
        <f>SUMIFS(Clean_Q3[Gross_Sales_USD],Clean_Q3[Channel],$A12)</f>
        <v>546379.29999999993</v>
      </c>
      <c r="C12" s="72">
        <f>SUMIFS($B$54:$B$56,$A$54:$A$56,$A12)</f>
        <v>520000</v>
      </c>
      <c r="D12" s="73">
        <f>COUNTIFS(Clean_Q3[Channel],$A12,Clean_Q3[Gross_Sales_USD],"&lt;&gt;")</f>
        <v>13</v>
      </c>
      <c r="E12" s="74">
        <f>C12*D12/13</f>
        <v>520000</v>
      </c>
      <c r="F12" s="75">
        <f>B12-E12</f>
        <v>26379.29999999993</v>
      </c>
      <c r="G12" s="65">
        <f>F12/E12</f>
        <v>5.0729423076922943E-2</v>
      </c>
      <c r="H12" s="60"/>
    </row>
    <row r="13" spans="1:15" x14ac:dyDescent="0.2">
      <c r="A13" s="37" t="str">
        <f>A55</f>
        <v>TrailMart</v>
      </c>
      <c r="B13" s="72">
        <f>SUMIFS(Clean_Q3[Gross_Sales_USD],Clean_Q3[Channel],$A13)</f>
        <v>739819.81000000017</v>
      </c>
      <c r="C13" s="72">
        <f>SUMIFS($B$54:$B$56,$A$54:$A$56,$A13)</f>
        <v>860000</v>
      </c>
      <c r="D13" s="73">
        <f>COUNTIFS(Clean_Q3[Channel],$A13,Clean_Q3[Gross_Sales_USD],"&lt;&gt;")</f>
        <v>12</v>
      </c>
      <c r="E13" s="74">
        <f>C13*D13/13</f>
        <v>793846.15384615387</v>
      </c>
      <c r="F13" s="76">
        <f>B13-E13</f>
        <v>-54026.343846153701</v>
      </c>
      <c r="G13" s="65">
        <f>F13/E13</f>
        <v>-6.8056440891472683E-2</v>
      </c>
      <c r="H13" s="60"/>
    </row>
    <row r="14" spans="1:15" x14ac:dyDescent="0.2">
      <c r="A14" s="37" t="str">
        <f>A56</f>
        <v>Other Wholesale</v>
      </c>
      <c r="B14" s="72">
        <f>SUMIFS(Clean_Q3[Gross_Sales_USD],Clean_Q3[Channel],$A14)</f>
        <v>355812.79000000004</v>
      </c>
      <c r="C14" s="72">
        <f>SUMIFS($B$54:$B$56,$A$54:$A$56,$A14)</f>
        <v>380000</v>
      </c>
      <c r="D14" s="73">
        <f>COUNTIFS(Clean_Q3[Channel],$A14,Clean_Q3[Gross_Sales_USD],"&lt;&gt;")</f>
        <v>12</v>
      </c>
      <c r="E14" s="74">
        <f>C14*D14/13</f>
        <v>350769.23076923075</v>
      </c>
      <c r="F14" s="76">
        <f>B14-E14</f>
        <v>5043.5592307692859</v>
      </c>
      <c r="G14" s="65">
        <f>F14/E14</f>
        <v>1.4378567982456299E-2</v>
      </c>
      <c r="H14" s="60"/>
    </row>
    <row r="15" spans="1:15" x14ac:dyDescent="0.2">
      <c r="A15" s="40" t="s">
        <v>66</v>
      </c>
      <c r="B15" s="77">
        <f>SUM(B12:B14)</f>
        <v>1642011.9000000001</v>
      </c>
      <c r="C15" s="77">
        <f>SUM(C12:C14)</f>
        <v>1760000</v>
      </c>
      <c r="D15" s="78"/>
      <c r="E15" s="79">
        <f>SUM(E12:E14)</f>
        <v>1664615.3846153847</v>
      </c>
      <c r="F15" s="79">
        <f>B15-E15</f>
        <v>-22603.484615384601</v>
      </c>
      <c r="G15" s="68">
        <f>F15/E15</f>
        <v>-1.357880314232901E-2</v>
      </c>
      <c r="H15" s="61"/>
    </row>
    <row r="16" spans="1:15" ht="8.1" customHeight="1" x14ac:dyDescent="0.25">
      <c r="A16"/>
      <c r="B16"/>
      <c r="C16"/>
      <c r="D16"/>
      <c r="E16"/>
      <c r="F16"/>
      <c r="G16"/>
      <c r="H16"/>
    </row>
    <row r="17" spans="1:15" ht="38.1" customHeight="1" x14ac:dyDescent="0.2">
      <c r="A17" s="88" t="s">
        <v>154</v>
      </c>
      <c r="B17" s="86">
        <f>B13+$B$63</f>
        <v>796479.26000000013</v>
      </c>
      <c r="C17" s="86">
        <f>C13</f>
        <v>860000</v>
      </c>
      <c r="D17" s="87">
        <f>D13+1</f>
        <v>13</v>
      </c>
      <c r="E17" s="86">
        <f>C17*D17/13</f>
        <v>860000</v>
      </c>
      <c r="F17" s="86">
        <f>B17-E17</f>
        <v>-63520.739999999874</v>
      </c>
      <c r="G17" s="89">
        <f>F17/E17</f>
        <v>-7.3861325581395201E-2</v>
      </c>
      <c r="H17" s="62"/>
    </row>
    <row r="18" spans="1:15" ht="15" customHeight="1" x14ac:dyDescent="0.2">
      <c r="A18" s="69"/>
      <c r="B18" s="70"/>
      <c r="C18" s="70"/>
      <c r="D18" s="71"/>
      <c r="E18" s="70"/>
      <c r="F18" s="70"/>
      <c r="G18" s="56"/>
      <c r="H18" s="62"/>
    </row>
    <row r="30" spans="1:15" x14ac:dyDescent="0.2">
      <c r="A30" s="84" t="s">
        <v>115</v>
      </c>
      <c r="B30" s="85"/>
      <c r="C30" s="85"/>
      <c r="D30" s="85"/>
      <c r="E30" s="85"/>
      <c r="F30" s="85"/>
      <c r="I30" s="84" t="s">
        <v>116</v>
      </c>
      <c r="J30" s="85"/>
      <c r="K30" s="85"/>
      <c r="L30" s="85"/>
      <c r="M30" s="85"/>
      <c r="N30" s="85"/>
      <c r="O30" s="85"/>
    </row>
    <row r="31" spans="1:15" ht="38.1" customHeight="1" x14ac:dyDescent="0.2">
      <c r="A31" s="47" t="s">
        <v>135</v>
      </c>
      <c r="B31" s="48"/>
      <c r="C31" s="48"/>
      <c r="D31" s="48"/>
      <c r="E31" s="48"/>
      <c r="F31" s="48"/>
      <c r="I31" s="47" t="s">
        <v>136</v>
      </c>
      <c r="J31" s="48"/>
      <c r="K31" s="48"/>
      <c r="L31" s="48"/>
      <c r="M31" s="48"/>
      <c r="N31" s="48"/>
      <c r="O31" s="48"/>
    </row>
    <row r="32" spans="1:15" ht="26.1" customHeight="1" x14ac:dyDescent="0.2">
      <c r="I32" s="80" t="s">
        <v>1</v>
      </c>
      <c r="J32" s="80" t="s">
        <v>107</v>
      </c>
      <c r="K32" s="80" t="s">
        <v>108</v>
      </c>
      <c r="L32" s="80" t="s">
        <v>109</v>
      </c>
      <c r="M32" s="80" t="s">
        <v>110</v>
      </c>
      <c r="N32" s="80" t="s">
        <v>111</v>
      </c>
    </row>
    <row r="33" spans="1:15" x14ac:dyDescent="0.2">
      <c r="I33" s="37" t="str">
        <f t="shared" ref="I33:J35" si="0">A12</f>
        <v>DTC Online</v>
      </c>
      <c r="J33" s="38">
        <f t="shared" si="0"/>
        <v>546379.29999999993</v>
      </c>
      <c r="K33" s="39">
        <f>J33/$J$36</f>
        <v>0.33274990272603988</v>
      </c>
      <c r="L33" s="38">
        <f>AVERAGEIFS(Clean_Q3[Gross_Sales_USD],Clean_Q3[Channel],$I33,Clean_Q3[Week_Start],"&lt;"&amp;$B$58)</f>
        <v>40728.965000000004</v>
      </c>
      <c r="M33" s="38">
        <f>AVERAGEIFS(Clean_Q3[Gross_Sales_USD],Clean_Q3[Channel],$I33,Clean_Q3[Week_Start],"&gt;="&amp;$B$58)</f>
        <v>43143.64428571429</v>
      </c>
      <c r="N33" s="65">
        <f>M33/L33-1</f>
        <v>5.9286536883868424E-2</v>
      </c>
    </row>
    <row r="34" spans="1:15" x14ac:dyDescent="0.2">
      <c r="I34" s="37" t="str">
        <f t="shared" si="0"/>
        <v>TrailMart</v>
      </c>
      <c r="J34" s="38">
        <f t="shared" si="0"/>
        <v>739819.81000000017</v>
      </c>
      <c r="K34" s="39">
        <f>J34/$J$36</f>
        <v>0.45055691131105696</v>
      </c>
      <c r="L34" s="38">
        <f>AVERAGEIFS(Clean_Q3[Gross_Sales_USD],Clean_Q3[Channel],$I34,Clean_Q3[Week_Start],"&lt;"&amp;$B$58)</f>
        <v>64402.651666666672</v>
      </c>
      <c r="M34" s="38">
        <f>AVERAGEIFS(Clean_Q3[Gross_Sales_USD],Clean_Q3[Channel],$I34,Clean_Q3[Week_Start],"&gt;="&amp;$B$58)</f>
        <v>58900.65</v>
      </c>
      <c r="N34" s="65">
        <f>M34/L34-1</f>
        <v>-8.5431290859633635E-2</v>
      </c>
    </row>
    <row r="35" spans="1:15" x14ac:dyDescent="0.2">
      <c r="I35" s="37" t="str">
        <f t="shared" si="0"/>
        <v>Other Wholesale</v>
      </c>
      <c r="J35" s="38">
        <f t="shared" si="0"/>
        <v>355812.79000000004</v>
      </c>
      <c r="K35" s="39">
        <f>J35/$J$36</f>
        <v>0.21669318596290318</v>
      </c>
      <c r="L35" s="38">
        <f>AVERAGEIFS(Clean_Q3[Gross_Sales_USD],Clean_Q3[Channel],$I35,Clean_Q3[Week_Start],"&lt;"&amp;$B$58)</f>
        <v>28851.373333333333</v>
      </c>
      <c r="M35" s="38">
        <f>AVERAGEIFS(Clean_Q3[Gross_Sales_USD],Clean_Q3[Channel],$I35,Clean_Q3[Week_Start],"&gt;="&amp;$B$58)</f>
        <v>30450.758333333331</v>
      </c>
      <c r="N35" s="65">
        <f>M35/L35-1</f>
        <v>5.5435316077385943E-2</v>
      </c>
    </row>
    <row r="36" spans="1:15" x14ac:dyDescent="0.2">
      <c r="I36" s="40" t="s">
        <v>66</v>
      </c>
      <c r="J36" s="66">
        <f>SUM(J33:J35)</f>
        <v>1642011.9000000001</v>
      </c>
      <c r="K36" s="67">
        <f>SUM(K33:K35)</f>
        <v>1</v>
      </c>
      <c r="L36" s="66">
        <f>SUM(L33:L35)</f>
        <v>133982.99</v>
      </c>
      <c r="M36" s="66">
        <f>SUM(M33:M35)</f>
        <v>132495.05261904764</v>
      </c>
      <c r="N36" s="68">
        <f>M36/L36-1</f>
        <v>-1.1105420030948387E-2</v>
      </c>
    </row>
    <row r="37" spans="1:15" ht="26.1" customHeight="1" x14ac:dyDescent="0.2">
      <c r="I37" s="49"/>
      <c r="J37" s="49"/>
      <c r="K37" s="49"/>
      <c r="L37" s="49"/>
      <c r="M37" s="49"/>
      <c r="N37" s="49"/>
      <c r="O37" s="49"/>
    </row>
    <row r="48" spans="1:15" x14ac:dyDescent="0.2">
      <c r="A48" s="50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</row>
    <row r="51" spans="1:2" x14ac:dyDescent="0.2">
      <c r="A51" s="32" t="s">
        <v>142</v>
      </c>
    </row>
    <row r="53" spans="1:2" x14ac:dyDescent="0.2">
      <c r="A53" s="40" t="s">
        <v>1</v>
      </c>
      <c r="B53" s="41" t="s">
        <v>92</v>
      </c>
    </row>
    <row r="54" spans="1:2" x14ac:dyDescent="0.2">
      <c r="A54" s="37" t="s">
        <v>7</v>
      </c>
      <c r="B54" s="42">
        <v>520000</v>
      </c>
    </row>
    <row r="55" spans="1:2" x14ac:dyDescent="0.2">
      <c r="A55" s="37" t="s">
        <v>9</v>
      </c>
      <c r="B55" s="42">
        <v>860000</v>
      </c>
    </row>
    <row r="56" spans="1:2" x14ac:dyDescent="0.2">
      <c r="A56" s="37" t="s">
        <v>11</v>
      </c>
      <c r="B56" s="42">
        <v>380000</v>
      </c>
    </row>
    <row r="57" spans="1:2" ht="15" x14ac:dyDescent="0.25">
      <c r="A57"/>
      <c r="B57" s="43"/>
    </row>
    <row r="58" spans="1:2" x14ac:dyDescent="0.2">
      <c r="A58" s="37" t="s">
        <v>69</v>
      </c>
      <c r="B58" s="83">
        <f>DATE(2026,8,10)</f>
        <v>46244</v>
      </c>
    </row>
    <row r="59" spans="1:2" x14ac:dyDescent="0.2">
      <c r="A59" s="37" t="s">
        <v>93</v>
      </c>
      <c r="B59" s="44">
        <v>0.95</v>
      </c>
    </row>
    <row r="60" spans="1:2" x14ac:dyDescent="0.2">
      <c r="A60" s="37" t="s">
        <v>94</v>
      </c>
      <c r="B60" s="44">
        <v>7.0000000000000007E-2</v>
      </c>
    </row>
    <row r="61" spans="1:2" x14ac:dyDescent="0.2">
      <c r="A61" s="37" t="s">
        <v>95</v>
      </c>
      <c r="B61" s="42">
        <f>SUMIFS(Clean_Q3[Returns_USD],Clean_Q3[Channel],A54)</f>
        <v>44367.06</v>
      </c>
    </row>
    <row r="62" spans="1:2" x14ac:dyDescent="0.2">
      <c r="A62" s="37" t="s">
        <v>96</v>
      </c>
      <c r="B62" s="44">
        <f>B61/B12</f>
        <v>8.1201941581608247E-2</v>
      </c>
    </row>
    <row r="63" spans="1:2" ht="24" x14ac:dyDescent="0.2">
      <c r="A63" s="81" t="s">
        <v>143</v>
      </c>
      <c r="B63" s="82">
        <f>VALUE('Raw (untouched)'!D30)/10</f>
        <v>56659.45</v>
      </c>
    </row>
    <row r="65" spans="1:12" x14ac:dyDescent="0.2">
      <c r="A65" s="33" t="s">
        <v>97</v>
      </c>
    </row>
    <row r="66" spans="1:12" ht="36" customHeight="1" x14ac:dyDescent="0.2">
      <c r="A66" s="35" t="s">
        <v>0</v>
      </c>
      <c r="B66" s="35"/>
      <c r="C66" s="35" t="s">
        <v>98</v>
      </c>
      <c r="D66" s="35" t="s">
        <v>99</v>
      </c>
      <c r="E66" s="35" t="s">
        <v>100</v>
      </c>
      <c r="F66" s="35" t="s">
        <v>101</v>
      </c>
      <c r="G66" s="35" t="s">
        <v>7</v>
      </c>
      <c r="H66" s="63"/>
      <c r="I66" s="35" t="s">
        <v>9</v>
      </c>
      <c r="J66" s="35" t="s">
        <v>11</v>
      </c>
      <c r="K66" s="35" t="s">
        <v>102</v>
      </c>
    </row>
    <row r="67" spans="1:12" x14ac:dyDescent="0.2">
      <c r="A67" s="36">
        <f>MIN(Clean_Q3[Week_Start])</f>
        <v>46202</v>
      </c>
      <c r="B67" s="37"/>
      <c r="C67" s="38">
        <f>SUMIFS(Clean_Q3[Gross_Sales_USD],Clean_Q3[Channel],$A$54,Clean_Q3[Week_Start],$A67)</f>
        <v>37131.64</v>
      </c>
      <c r="D67" s="38">
        <f>SUMIFS(Clean_Q3[Returns_USD],Clean_Q3[Channel],$A$54,Clean_Q3[Week_Start],$A67)</f>
        <v>2328.7800000000002</v>
      </c>
      <c r="E67" s="39">
        <f>D67/C67</f>
        <v>6.2716863569721143E-2</v>
      </c>
      <c r="F67" s="39">
        <f>$B$60</f>
        <v>7.0000000000000007E-2</v>
      </c>
      <c r="G67" s="39">
        <f>IF(COUNTIFS(Clean_Q3[Channel],G$66,Clean_Q3[Week_Start],$A67,Clean_Q3[On_Time_Ship_Pct],"&lt;&gt;")=0,NA(),AVERAGEIFS(Clean_Q3[On_Time_Ship_Pct],Clean_Q3[Channel],G$66,Clean_Q3[Week_Start],$A67))</f>
        <v>0.96599999999999997</v>
      </c>
      <c r="H67" s="64"/>
      <c r="I67" s="39">
        <f>IF(COUNTIFS(Clean_Q3[Channel],I$66,Clean_Q3[Week_Start],$A67,Clean_Q3[On_Time_Ship_Pct],"&lt;&gt;")=0,NA(),AVERAGEIFS(Clean_Q3[On_Time_Ship_Pct],Clean_Q3[Channel],I$66,Clean_Q3[Week_Start],$A67))</f>
        <v>0.97499999999999998</v>
      </c>
      <c r="J67" s="39">
        <f>IF(COUNTIFS(Clean_Q3[Channel],J$66,Clean_Q3[Week_Start],$A67,Clean_Q3[On_Time_Ship_Pct],"&lt;&gt;")=0,NA(),AVERAGEIFS(Clean_Q3[On_Time_Ship_Pct],Clean_Q3[Channel],J$66,Clean_Q3[Week_Start],$A67))</f>
        <v>0.96699999999999997</v>
      </c>
      <c r="K67" s="39">
        <f>$B$59</f>
        <v>0.95</v>
      </c>
    </row>
    <row r="68" spans="1:12" x14ac:dyDescent="0.2">
      <c r="A68" s="36">
        <f>A67+7</f>
        <v>46209</v>
      </c>
      <c r="B68" s="37"/>
      <c r="C68" s="38">
        <f>SUMIFS(Clean_Q3[Gross_Sales_USD],Clean_Q3[Channel],$A$54,Clean_Q3[Week_Start],$A68)</f>
        <v>41007.93</v>
      </c>
      <c r="D68" s="38">
        <f>SUMIFS(Clean_Q3[Returns_USD],Clean_Q3[Channel],$A$54,Clean_Q3[Week_Start],$A68)</f>
        <v>2310.12</v>
      </c>
      <c r="E68" s="39">
        <f t="shared" ref="E68:E79" si="1">D68/C68</f>
        <v>5.6333494521669344E-2</v>
      </c>
      <c r="F68" s="39">
        <f t="shared" ref="F68:F79" si="2">$B$60</f>
        <v>7.0000000000000007E-2</v>
      </c>
      <c r="G68" s="39">
        <f>IF(COUNTIFS(Clean_Q3[Channel],G$66,Clean_Q3[Week_Start],$A68,Clean_Q3[On_Time_Ship_Pct],"&lt;&gt;")=0,NA(),AVERAGEIFS(Clean_Q3[On_Time_Ship_Pct],Clean_Q3[Channel],G$66,Clean_Q3[Week_Start],$A68))</f>
        <v>0.96499999999999997</v>
      </c>
      <c r="H68" s="64"/>
      <c r="I68" s="39">
        <f>IF(COUNTIFS(Clean_Q3[Channel],I$66,Clean_Q3[Week_Start],$A68,Clean_Q3[On_Time_Ship_Pct],"&lt;&gt;")=0,NA(),AVERAGEIFS(Clean_Q3[On_Time_Ship_Pct],Clean_Q3[Channel],I$66,Clean_Q3[Week_Start],$A68))</f>
        <v>0.97</v>
      </c>
      <c r="J68" s="39">
        <f>IF(COUNTIFS(Clean_Q3[Channel],J$66,Clean_Q3[Week_Start],$A68,Clean_Q3[On_Time_Ship_Pct],"&lt;&gt;")=0,NA(),AVERAGEIFS(Clean_Q3[On_Time_Ship_Pct],Clean_Q3[Channel],J$66,Clean_Q3[Week_Start],$A68))</f>
        <v>0.96799999999999997</v>
      </c>
      <c r="K68" s="39">
        <f t="shared" ref="K68:K79" si="3">$B$59</f>
        <v>0.95</v>
      </c>
    </row>
    <row r="69" spans="1:12" x14ac:dyDescent="0.2">
      <c r="A69" s="36">
        <f t="shared" ref="A69:A79" si="4">A68+7</f>
        <v>46216</v>
      </c>
      <c r="B69" s="37"/>
      <c r="C69" s="38">
        <f>SUMIFS(Clean_Q3[Gross_Sales_USD],Clean_Q3[Channel],$A$54,Clean_Q3[Week_Start],$A69)</f>
        <v>36456.239999999998</v>
      </c>
      <c r="D69" s="38">
        <f>SUMIFS(Clean_Q3[Returns_USD],Clean_Q3[Channel],$A$54,Clean_Q3[Week_Start],$A69)</f>
        <v>2302.23</v>
      </c>
      <c r="E69" s="39">
        <f t="shared" si="1"/>
        <v>6.3150505921620012E-2</v>
      </c>
      <c r="F69" s="39">
        <f t="shared" si="2"/>
        <v>7.0000000000000007E-2</v>
      </c>
      <c r="G69" s="39">
        <f>IF(COUNTIFS(Clean_Q3[Channel],G$66,Clean_Q3[Week_Start],$A69,Clean_Q3[On_Time_Ship_Pct],"&lt;&gt;")=0,NA(),AVERAGEIFS(Clean_Q3[On_Time_Ship_Pct],Clean_Q3[Channel],G$66,Clean_Q3[Week_Start],$A69))</f>
        <v>0.97299999999999998</v>
      </c>
      <c r="H69" s="64"/>
      <c r="I69" s="39">
        <f>IF(COUNTIFS(Clean_Q3[Channel],I$66,Clean_Q3[Week_Start],$A69,Clean_Q3[On_Time_Ship_Pct],"&lt;&gt;")=0,NA(),AVERAGEIFS(Clean_Q3[On_Time_Ship_Pct],Clean_Q3[Channel],I$66,Clean_Q3[Week_Start],$A69))</f>
        <v>0.96699999999999997</v>
      </c>
      <c r="J69" s="39">
        <f>IF(COUNTIFS(Clean_Q3[Channel],J$66,Clean_Q3[Week_Start],$A69,Clean_Q3[On_Time_Ship_Pct],"&lt;&gt;")=0,NA(),AVERAGEIFS(Clean_Q3[On_Time_Ship_Pct],Clean_Q3[Channel],J$66,Clean_Q3[Week_Start],$A69))</f>
        <v>0.96399999999999997</v>
      </c>
      <c r="K69" s="39">
        <f t="shared" si="3"/>
        <v>0.95</v>
      </c>
    </row>
    <row r="70" spans="1:12" x14ac:dyDescent="0.2">
      <c r="A70" s="36">
        <f t="shared" si="4"/>
        <v>46223</v>
      </c>
      <c r="B70" s="37"/>
      <c r="C70" s="38">
        <f>SUMIFS(Clean_Q3[Gross_Sales_USD],Clean_Q3[Channel],$A$54,Clean_Q3[Week_Start],$A70)</f>
        <v>42440.46</v>
      </c>
      <c r="D70" s="38">
        <f>SUMIFS(Clean_Q3[Returns_USD],Clean_Q3[Channel],$A$54,Clean_Q3[Week_Start],$A70)</f>
        <v>2825.23</v>
      </c>
      <c r="E70" s="39">
        <f t="shared" si="1"/>
        <v>6.6569259616884452E-2</v>
      </c>
      <c r="F70" s="39">
        <f t="shared" si="2"/>
        <v>7.0000000000000007E-2</v>
      </c>
      <c r="G70" s="39">
        <f>IF(COUNTIFS(Clean_Q3[Channel],G$66,Clean_Q3[Week_Start],$A70,Clean_Q3[On_Time_Ship_Pct],"&lt;&gt;")=0,NA(),AVERAGEIFS(Clean_Q3[On_Time_Ship_Pct],Clean_Q3[Channel],G$66,Clean_Q3[Week_Start],$A70))</f>
        <v>0.96499999999999997</v>
      </c>
      <c r="H70" s="64"/>
      <c r="I70" s="39">
        <f>IF(COUNTIFS(Clean_Q3[Channel],I$66,Clean_Q3[Week_Start],$A70,Clean_Q3[On_Time_Ship_Pct],"&lt;&gt;")=0,NA(),AVERAGEIFS(Clean_Q3[On_Time_Ship_Pct],Clean_Q3[Channel],I$66,Clean_Q3[Week_Start],$A70))</f>
        <v>0.97099999999999997</v>
      </c>
      <c r="J70" s="39">
        <f>IF(COUNTIFS(Clean_Q3[Channel],J$66,Clean_Q3[Week_Start],$A70,Clean_Q3[On_Time_Ship_Pct],"&lt;&gt;")=0,NA(),AVERAGEIFS(Clean_Q3[On_Time_Ship_Pct],Clean_Q3[Channel],J$66,Clean_Q3[Week_Start],$A70))</f>
        <v>0.97499999999999998</v>
      </c>
      <c r="K70" s="39">
        <f t="shared" si="3"/>
        <v>0.95</v>
      </c>
    </row>
    <row r="71" spans="1:12" x14ac:dyDescent="0.2">
      <c r="A71" s="36">
        <f t="shared" si="4"/>
        <v>46230</v>
      </c>
      <c r="B71" s="37"/>
      <c r="C71" s="38">
        <f>SUMIFS(Clean_Q3[Gross_Sales_USD],Clean_Q3[Channel],$A$54,Clean_Q3[Week_Start],$A71)</f>
        <v>42773.29</v>
      </c>
      <c r="D71" s="38">
        <f>SUMIFS(Clean_Q3[Returns_USD],Clean_Q3[Channel],$A$54,Clean_Q3[Week_Start],$A71)</f>
        <v>3621.18</v>
      </c>
      <c r="E71" s="39">
        <f t="shared" si="1"/>
        <v>8.4659842626087445E-2</v>
      </c>
      <c r="F71" s="39">
        <f t="shared" si="2"/>
        <v>7.0000000000000007E-2</v>
      </c>
      <c r="G71" s="39">
        <f>IF(COUNTIFS(Clean_Q3[Channel],G$66,Clean_Q3[Week_Start],$A71,Clean_Q3[On_Time_Ship_Pct],"&lt;&gt;")=0,NA(),AVERAGEIFS(Clean_Q3[On_Time_Ship_Pct],Clean_Q3[Channel],G$66,Clean_Q3[Week_Start],$A71))</f>
        <v>0.95099999999999996</v>
      </c>
      <c r="H71" s="64"/>
      <c r="I71" s="39">
        <f>IF(COUNTIFS(Clean_Q3[Channel],I$66,Clean_Q3[Week_Start],$A71,Clean_Q3[On_Time_Ship_Pct],"&lt;&gt;")=0,NA(),AVERAGEIFS(Clean_Q3[On_Time_Ship_Pct],Clean_Q3[Channel],I$66,Clean_Q3[Week_Start],$A71))</f>
        <v>0.96499999999999997</v>
      </c>
      <c r="J71" s="39">
        <f>IF(COUNTIFS(Clean_Q3[Channel],J$66,Clean_Q3[Week_Start],$A71,Clean_Q3[On_Time_Ship_Pct],"&lt;&gt;")=0,NA(),AVERAGEIFS(Clean_Q3[On_Time_Ship_Pct],Clean_Q3[Channel],J$66,Clean_Q3[Week_Start],$A71))</f>
        <v>0.96599999999999997</v>
      </c>
      <c r="K71" s="39">
        <f t="shared" si="3"/>
        <v>0.95</v>
      </c>
    </row>
    <row r="72" spans="1:12" x14ac:dyDescent="0.2">
      <c r="A72" s="36">
        <f t="shared" si="4"/>
        <v>46237</v>
      </c>
      <c r="B72" s="37"/>
      <c r="C72" s="38">
        <f>SUMIFS(Clean_Q3[Gross_Sales_USD],Clean_Q3[Channel],$A$54,Clean_Q3[Week_Start],$A72)</f>
        <v>44564.23</v>
      </c>
      <c r="D72" s="38">
        <f>SUMIFS(Clean_Q3[Returns_USD],Clean_Q3[Channel],$A$54,Clean_Q3[Week_Start],$A72)</f>
        <v>3656.08</v>
      </c>
      <c r="E72" s="39">
        <f t="shared" si="1"/>
        <v>8.204068599412577E-2</v>
      </c>
      <c r="F72" s="39">
        <f t="shared" si="2"/>
        <v>7.0000000000000007E-2</v>
      </c>
      <c r="G72" s="39">
        <f>IF(COUNTIFS(Clean_Q3[Channel],G$66,Clean_Q3[Week_Start],$A72,Clean_Q3[On_Time_Ship_Pct],"&lt;&gt;")=0,NA(),AVERAGEIFS(Clean_Q3[On_Time_Ship_Pct],Clean_Q3[Channel],G$66,Clean_Q3[Week_Start],$A72))</f>
        <v>0.95699999999999996</v>
      </c>
      <c r="H72" s="64"/>
      <c r="I72" s="39">
        <f>IF(COUNTIFS(Clean_Q3[Channel],I$66,Clean_Q3[Week_Start],$A72,Clean_Q3[On_Time_Ship_Pct],"&lt;&gt;")=0,NA(),AVERAGEIFS(Clean_Q3[On_Time_Ship_Pct],Clean_Q3[Channel],I$66,Clean_Q3[Week_Start],$A72))</f>
        <v>0.97099999999999997</v>
      </c>
      <c r="J72" s="39">
        <f>IF(COUNTIFS(Clean_Q3[Channel],J$66,Clean_Q3[Week_Start],$A72,Clean_Q3[On_Time_Ship_Pct],"&lt;&gt;")=0,NA(),AVERAGEIFS(Clean_Q3[On_Time_Ship_Pct],Clean_Q3[Channel],J$66,Clean_Q3[Week_Start],$A72))</f>
        <v>0.96699999999999997</v>
      </c>
      <c r="K72" s="39">
        <f t="shared" si="3"/>
        <v>0.95</v>
      </c>
    </row>
    <row r="73" spans="1:12" x14ac:dyDescent="0.2">
      <c r="A73" s="36">
        <f t="shared" si="4"/>
        <v>46244</v>
      </c>
      <c r="B73" s="37"/>
      <c r="C73" s="38">
        <f>SUMIFS(Clean_Q3[Gross_Sales_USD],Clean_Q3[Channel],$A$54,Clean_Q3[Week_Start],$A73)</f>
        <v>46153.88</v>
      </c>
      <c r="D73" s="38">
        <f>SUMIFS(Clean_Q3[Returns_USD],Clean_Q3[Channel],$A$54,Clean_Q3[Week_Start],$A73)</f>
        <v>4099.5200000000004</v>
      </c>
      <c r="E73" s="39">
        <f t="shared" si="1"/>
        <v>8.8822868196563334E-2</v>
      </c>
      <c r="F73" s="39">
        <f t="shared" si="2"/>
        <v>7.0000000000000007E-2</v>
      </c>
      <c r="G73" s="39">
        <f>IF(COUNTIFS(Clean_Q3[Channel],G$66,Clean_Q3[Week_Start],$A73,Clean_Q3[On_Time_Ship_Pct],"&lt;&gt;")=0,NA(),AVERAGEIFS(Clean_Q3[On_Time_Ship_Pct],Clean_Q3[Channel],G$66,Clean_Q3[Week_Start],$A73))</f>
        <v>0.94699999999999995</v>
      </c>
      <c r="H73" s="64"/>
      <c r="I73" s="39">
        <f>IF(COUNTIFS(Clean_Q3[Channel],I$66,Clean_Q3[Week_Start],$A73,Clean_Q3[On_Time_Ship_Pct],"&lt;&gt;")=0,NA(),AVERAGEIFS(Clean_Q3[On_Time_Ship_Pct],Clean_Q3[Channel],I$66,Clean_Q3[Week_Start],$A73))</f>
        <v>0.95899999999999996</v>
      </c>
      <c r="J73" s="39">
        <f>IF(COUNTIFS(Clean_Q3[Channel],J$66,Clean_Q3[Week_Start],$A73,Clean_Q3[On_Time_Ship_Pct],"&lt;&gt;")=0,NA(),AVERAGEIFS(Clean_Q3[On_Time_Ship_Pct],Clean_Q3[Channel],J$66,Clean_Q3[Week_Start],$A73))</f>
        <v>0.96499999999999997</v>
      </c>
      <c r="K73" s="39">
        <f t="shared" si="3"/>
        <v>0.95</v>
      </c>
    </row>
    <row r="74" spans="1:12" x14ac:dyDescent="0.2">
      <c r="A74" s="36">
        <f t="shared" si="4"/>
        <v>46251</v>
      </c>
      <c r="B74" s="37"/>
      <c r="C74" s="38">
        <f>SUMIFS(Clean_Q3[Gross_Sales_USD],Clean_Q3[Channel],$A$54,Clean_Q3[Week_Start],$A74)</f>
        <v>38985.589999999997</v>
      </c>
      <c r="D74" s="38">
        <f>SUMIFS(Clean_Q3[Returns_USD],Clean_Q3[Channel],$A$54,Clean_Q3[Week_Start],$A74)</f>
        <v>3186.51</v>
      </c>
      <c r="E74" s="39">
        <f t="shared" si="1"/>
        <v>8.1735584866100539E-2</v>
      </c>
      <c r="F74" s="39">
        <f t="shared" si="2"/>
        <v>7.0000000000000007E-2</v>
      </c>
      <c r="G74" s="39">
        <f>IF(COUNTIFS(Clean_Q3[Channel],G$66,Clean_Q3[Week_Start],$A74,Clean_Q3[On_Time_Ship_Pct],"&lt;&gt;")=0,NA(),AVERAGEIFS(Clean_Q3[On_Time_Ship_Pct],Clean_Q3[Channel],G$66,Clean_Q3[Week_Start],$A74))</f>
        <v>0.95399999999999996</v>
      </c>
      <c r="H74" s="64"/>
      <c r="I74" s="39">
        <f>IF(COUNTIFS(Clean_Q3[Channel],I$66,Clean_Q3[Week_Start],$A74,Clean_Q3[On_Time_Ship_Pct],"&lt;&gt;")=0,NA(),AVERAGEIFS(Clean_Q3[On_Time_Ship_Pct],Clean_Q3[Channel],I$66,Clean_Q3[Week_Start],$A74))</f>
        <v>0.96499999999999997</v>
      </c>
      <c r="J74" s="39">
        <f>IF(COUNTIFS(Clean_Q3[Channel],J$66,Clean_Q3[Week_Start],$A74,Clean_Q3[On_Time_Ship_Pct],"&lt;&gt;")=0,NA(),AVERAGEIFS(Clean_Q3[On_Time_Ship_Pct],Clean_Q3[Channel],J$66,Clean_Q3[Week_Start],$A74))</f>
        <v>0.95599999999999996</v>
      </c>
      <c r="K74" s="39">
        <f t="shared" si="3"/>
        <v>0.95</v>
      </c>
    </row>
    <row r="75" spans="1:12" x14ac:dyDescent="0.2">
      <c r="A75" s="36">
        <f t="shared" si="4"/>
        <v>46258</v>
      </c>
      <c r="B75" s="37"/>
      <c r="C75" s="38">
        <f>SUMIFS(Clean_Q3[Gross_Sales_USD],Clean_Q3[Channel],$A$54,Clean_Q3[Week_Start],$A75)</f>
        <v>44096.47</v>
      </c>
      <c r="D75" s="38">
        <f>SUMIFS(Clean_Q3[Returns_USD],Clean_Q3[Channel],$A$54,Clean_Q3[Week_Start],$A75)</f>
        <v>4413.3599999999997</v>
      </c>
      <c r="E75" s="39">
        <f t="shared" si="1"/>
        <v>0.10008420175129663</v>
      </c>
      <c r="F75" s="39">
        <f t="shared" si="2"/>
        <v>7.0000000000000007E-2</v>
      </c>
      <c r="G75" s="39">
        <f>IF(COUNTIFS(Clean_Q3[Channel],G$66,Clean_Q3[Week_Start],$A75,Clean_Q3[On_Time_Ship_Pct],"&lt;&gt;")=0,NA(),AVERAGEIFS(Clean_Q3[On_Time_Ship_Pct],Clean_Q3[Channel],G$66,Clean_Q3[Week_Start],$A75))</f>
        <v>0.93600000000000005</v>
      </c>
      <c r="H75" s="64"/>
      <c r="I75" s="39">
        <f>IF(COUNTIFS(Clean_Q3[Channel],I$66,Clean_Q3[Week_Start],$A75,Clean_Q3[On_Time_Ship_Pct],"&lt;&gt;")=0,NA(),AVERAGEIFS(Clean_Q3[On_Time_Ship_Pct],Clean_Q3[Channel],I$66,Clean_Q3[Week_Start],$A75))</f>
        <v>0.95499999999999996</v>
      </c>
      <c r="J75" s="39">
        <f>IF(COUNTIFS(Clean_Q3[Channel],J$66,Clean_Q3[Week_Start],$A75,Clean_Q3[On_Time_Ship_Pct],"&lt;&gt;")=0,NA(),AVERAGEIFS(Clean_Q3[On_Time_Ship_Pct],Clean_Q3[Channel],J$66,Clean_Q3[Week_Start],$A75))</f>
        <v>0.95299999999999996</v>
      </c>
      <c r="K75" s="39">
        <f t="shared" si="3"/>
        <v>0.95</v>
      </c>
    </row>
    <row r="76" spans="1:12" x14ac:dyDescent="0.2">
      <c r="A76" s="36">
        <f t="shared" si="4"/>
        <v>46265</v>
      </c>
      <c r="B76" s="37"/>
      <c r="C76" s="38">
        <f>SUMIFS(Clean_Q3[Gross_Sales_USD],Clean_Q3[Channel],$A$54,Clean_Q3[Week_Start],$A76)</f>
        <v>43320.5</v>
      </c>
      <c r="D76" s="38">
        <f>SUMIFS(Clean_Q3[Returns_USD],Clean_Q3[Channel],$A$54,Clean_Q3[Week_Start],$A76)</f>
        <v>4502.63</v>
      </c>
      <c r="E76" s="39">
        <f t="shared" si="1"/>
        <v>0.1039376276820443</v>
      </c>
      <c r="F76" s="39">
        <f t="shared" si="2"/>
        <v>7.0000000000000007E-2</v>
      </c>
      <c r="G76" s="39">
        <f>IF(COUNTIFS(Clean_Q3[Channel],G$66,Clean_Q3[Week_Start],$A76,Clean_Q3[On_Time_Ship_Pct],"&lt;&gt;")=0,NA(),AVERAGEIFS(Clean_Q3[On_Time_Ship_Pct],Clean_Q3[Channel],G$66,Clean_Q3[Week_Start],$A76))</f>
        <v>0.94299999999999995</v>
      </c>
      <c r="H76" s="64"/>
      <c r="I76" s="39">
        <f>IF(COUNTIFS(Clean_Q3[Channel],I$66,Clean_Q3[Week_Start],$A76,Clean_Q3[On_Time_Ship_Pct],"&lt;&gt;")=0,NA(),AVERAGEIFS(Clean_Q3[On_Time_Ship_Pct],Clean_Q3[Channel],I$66,Clean_Q3[Week_Start],$A76))</f>
        <v>0.94399999999999995</v>
      </c>
      <c r="J76" s="39">
        <f>IF(COUNTIFS(Clean_Q3[Channel],J$66,Clean_Q3[Week_Start],$A76,Clean_Q3[On_Time_Ship_Pct],"&lt;&gt;")=0,NA(),AVERAGEIFS(Clean_Q3[On_Time_Ship_Pct],Clean_Q3[Channel],J$66,Clean_Q3[Week_Start],$A76))</f>
        <v>0.95799999999999996</v>
      </c>
      <c r="K76" s="39">
        <f t="shared" si="3"/>
        <v>0.95</v>
      </c>
    </row>
    <row r="77" spans="1:12" x14ac:dyDescent="0.2">
      <c r="A77" s="36">
        <f t="shared" si="4"/>
        <v>46272</v>
      </c>
      <c r="B77" s="37"/>
      <c r="C77" s="38">
        <f>SUMIFS(Clean_Q3[Gross_Sales_USD],Clean_Q3[Channel],$A$54,Clean_Q3[Week_Start],$A77)</f>
        <v>43258.54</v>
      </c>
      <c r="D77" s="38">
        <f>SUMIFS(Clean_Q3[Returns_USD],Clean_Q3[Channel],$A$54,Clean_Q3[Week_Start],$A77)</f>
        <v>3620.77</v>
      </c>
      <c r="E77" s="39">
        <f t="shared" si="1"/>
        <v>8.3700698174279567E-2</v>
      </c>
      <c r="F77" s="39">
        <f t="shared" si="2"/>
        <v>7.0000000000000007E-2</v>
      </c>
      <c r="G77" s="39">
        <f>IF(COUNTIFS(Clean_Q3[Channel],G$66,Clean_Q3[Week_Start],$A77,Clean_Q3[On_Time_Ship_Pct],"&lt;&gt;")=0,NA(),AVERAGEIFS(Clean_Q3[On_Time_Ship_Pct],Clean_Q3[Channel],G$66,Clean_Q3[Week_Start],$A77))</f>
        <v>0.93799999999999994</v>
      </c>
      <c r="H77" s="64"/>
      <c r="I77" s="39">
        <f>IF(COUNTIFS(Clean_Q3[Channel],I$66,Clean_Q3[Week_Start],$A77,Clean_Q3[On_Time_Ship_Pct],"&lt;&gt;")=0,NA(),AVERAGEIFS(Clean_Q3[On_Time_Ship_Pct],Clean_Q3[Channel],I$66,Clean_Q3[Week_Start],$A77))</f>
        <v>0.94299999999999995</v>
      </c>
      <c r="J77" s="39">
        <f>IF(COUNTIFS(Clean_Q3[Channel],J$66,Clean_Q3[Week_Start],$A77,Clean_Q3[On_Time_Ship_Pct],"&lt;&gt;")=0,NA(),AVERAGEIFS(Clean_Q3[On_Time_Ship_Pct],Clean_Q3[Channel],J$66,Clean_Q3[Week_Start],$A77))</f>
        <v>0.94299999999999995</v>
      </c>
      <c r="K77" s="39">
        <f t="shared" si="3"/>
        <v>0.95</v>
      </c>
    </row>
    <row r="78" spans="1:12" x14ac:dyDescent="0.2">
      <c r="A78" s="36">
        <f t="shared" si="4"/>
        <v>46279</v>
      </c>
      <c r="B78" s="37"/>
      <c r="C78" s="38">
        <f>SUMIFS(Clean_Q3[Gross_Sales_USD],Clean_Q3[Channel],$A$54,Clean_Q3[Week_Start],$A78)</f>
        <v>40948.78</v>
      </c>
      <c r="D78" s="38">
        <f>SUMIFS(Clean_Q3[Returns_USD],Clean_Q3[Channel],$A$54,Clean_Q3[Week_Start],$A78)</f>
        <v>3459.29</v>
      </c>
      <c r="E78" s="39">
        <f t="shared" si="1"/>
        <v>8.447846309462699E-2</v>
      </c>
      <c r="F78" s="39">
        <f t="shared" si="2"/>
        <v>7.0000000000000007E-2</v>
      </c>
      <c r="G78" s="39">
        <f>IF(COUNTIFS(Clean_Q3[Channel],G$66,Clean_Q3[Week_Start],$A78,Clean_Q3[On_Time_Ship_Pct],"&lt;&gt;")=0,NA(),AVERAGEIFS(Clean_Q3[On_Time_Ship_Pct],Clean_Q3[Channel],G$66,Clean_Q3[Week_Start],$A78))</f>
        <v>0.93799999999999994</v>
      </c>
      <c r="H78" s="64"/>
      <c r="I78" s="39">
        <f>IF(COUNTIFS(Clean_Q3[Channel],I$66,Clean_Q3[Week_Start],$A78,Clean_Q3[On_Time_Ship_Pct],"&lt;&gt;")=0,NA(),AVERAGEIFS(Clean_Q3[On_Time_Ship_Pct],Clean_Q3[Channel],I$66,Clean_Q3[Week_Start],$A78))</f>
        <v>0.94399999999999995</v>
      </c>
      <c r="J78" s="39" t="e">
        <f>IF(COUNTIFS(Clean_Q3[Channel],J$66,Clean_Q3[Week_Start],$A78,Clean_Q3[On_Time_Ship_Pct],"&lt;&gt;")=0,NA(),AVERAGEIFS(Clean_Q3[On_Time_Ship_Pct],Clean_Q3[Channel],J$66,Clean_Q3[Week_Start],$A78))</f>
        <v>#N/A</v>
      </c>
      <c r="K78" s="39">
        <f t="shared" si="3"/>
        <v>0.95</v>
      </c>
      <c r="L78" s="34"/>
    </row>
    <row r="79" spans="1:12" x14ac:dyDescent="0.2">
      <c r="A79" s="36">
        <f t="shared" si="4"/>
        <v>46286</v>
      </c>
      <c r="B79" s="37"/>
      <c r="C79" s="38">
        <f>SUMIFS(Clean_Q3[Gross_Sales_USD],Clean_Q3[Channel],$A$54,Clean_Q3[Week_Start],$A79)</f>
        <v>45241.75</v>
      </c>
      <c r="D79" s="38">
        <f>SUMIFS(Clean_Q3[Returns_USD],Clean_Q3[Channel],$A$54,Clean_Q3[Week_Start],$A79)</f>
        <v>4041.36</v>
      </c>
      <c r="E79" s="39">
        <f t="shared" si="1"/>
        <v>8.9328109544834139E-2</v>
      </c>
      <c r="F79" s="39">
        <f t="shared" si="2"/>
        <v>7.0000000000000007E-2</v>
      </c>
      <c r="G79" s="39">
        <f>IF(COUNTIFS(Clean_Q3[Channel],G$66,Clean_Q3[Week_Start],$A79,Clean_Q3[On_Time_Ship_Pct],"&lt;&gt;")=0,NA(),AVERAGEIFS(Clean_Q3[On_Time_Ship_Pct],Clean_Q3[Channel],G$66,Clean_Q3[Week_Start],$A79))</f>
        <v>0.91900000000000004</v>
      </c>
      <c r="H79" s="64"/>
      <c r="I79" s="39">
        <f>IF(COUNTIFS(Clean_Q3[Channel],I$66,Clean_Q3[Week_Start],$A79,Clean_Q3[On_Time_Ship_Pct],"&lt;&gt;")=0,NA(),AVERAGEIFS(Clean_Q3[On_Time_Ship_Pct],Clean_Q3[Channel],I$66,Clean_Q3[Week_Start],$A79))</f>
        <v>0.93799999999999994</v>
      </c>
      <c r="J79" s="39">
        <f>IF(COUNTIFS(Clean_Q3[Channel],J$66,Clean_Q3[Week_Start],$A79,Clean_Q3[On_Time_Ship_Pct],"&lt;&gt;")=0,NA(),AVERAGEIFS(Clean_Q3[On_Time_Ship_Pct],Clean_Q3[Channel],J$66,Clean_Q3[Week_Start],$A79))</f>
        <v>0.93799999999999994</v>
      </c>
      <c r="K79" s="39">
        <f t="shared" si="3"/>
        <v>0.95</v>
      </c>
    </row>
  </sheetData>
  <mergeCells count="14">
    <mergeCell ref="A4:O4"/>
    <mergeCell ref="A5:O5"/>
    <mergeCell ref="A6:O6"/>
    <mergeCell ref="A48:O48"/>
    <mergeCell ref="A7:O7"/>
    <mergeCell ref="A9:F9"/>
    <mergeCell ref="I9:O9"/>
    <mergeCell ref="A10:F10"/>
    <mergeCell ref="I10:O10"/>
    <mergeCell ref="A30:F30"/>
    <mergeCell ref="I30:O30"/>
    <mergeCell ref="A31:F31"/>
    <mergeCell ref="I31:O31"/>
    <mergeCell ref="I37:O37"/>
  </mergeCells>
  <conditionalFormatting sqref="E67:E79">
    <cfRule type="expression" dxfId="4" priority="5">
      <formula>E67&gt;$B$60</formula>
    </cfRule>
  </conditionalFormatting>
  <conditionalFormatting sqref="G67:J79">
    <cfRule type="expression" dxfId="3" priority="4">
      <formula>AND(ISNUMBER(G67),G67&lt;$B$59)</formula>
    </cfRule>
  </conditionalFormatting>
  <conditionalFormatting sqref="N33:N36">
    <cfRule type="cellIs" dxfId="2" priority="3" operator="lessThan">
      <formula>0</formula>
    </cfRule>
  </conditionalFormatting>
  <conditionalFormatting sqref="G12:H15">
    <cfRule type="cellIs" dxfId="1" priority="1" operator="lessThan">
      <formula>0</formula>
    </cfRule>
  </conditionalFormatting>
  <conditionalFormatting sqref="F12:F15">
    <cfRule type="cellIs" dxfId="0" priority="6" operator="lessThan">
      <formula>0</formula>
    </cfRule>
  </conditionalFormatting>
  <printOptions horizontalCentered="1"/>
  <pageMargins left="0.4" right="0.4" top="0.4" bottom="0.4" header="0.3" footer="0.3"/>
  <pageSetup paperSize="0" scale="0" orientation="landscape" horizontalDpi="0" verticalDpi="0" copie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966789F-EDFE-4403-B43A-890E245906D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Raw (untouched)</vt:lpstr>
      <vt:lpstr>Clean</vt:lpstr>
      <vt:lpstr>Cleaning log</vt:lpstr>
      <vt:lpstr>Dashboard</vt:lpstr>
      <vt:lpstr>Dashboard!Print_Area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2026-10-16T11:14:13Z</dcterms:created>
  <dcterms:modified xsi:type="dcterms:W3CDTF">2026-10-16T19:56:55Z</dcterms:modified>
</cp:coreProperties>
</file>